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Data" sheetId="1" r:id="rId1"/>
    <sheet name="Addtions Worksheet" sheetId="2" r:id="rId2"/>
    <sheet name="Roofing " sheetId="3" r:id="rId3"/>
    <sheet name="National Estimator" sheetId="4" r:id="rId4"/>
    <sheet name="Sheet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<sst xmlns="http://schemas.openxmlformats.org/spreadsheetml/2006/main" count="648" uniqueCount="379">
  <si>
    <t xml:space="preserve">Cargin Construction </t>
  </si>
  <si>
    <t>Small Load Charge</t>
  </si>
  <si>
    <t>Lite form SF</t>
  </si>
  <si>
    <t>Glue for Styro</t>
  </si>
  <si>
    <t>Anchor bolts 10"</t>
  </si>
  <si>
    <t>Sill Seal 8" x 50'</t>
  </si>
  <si>
    <t>2' x 10" LF</t>
  </si>
  <si>
    <t>Rim Board</t>
  </si>
  <si>
    <t>3/4" T&amp;G</t>
  </si>
  <si>
    <t>2" x 4" x 8' Stud</t>
  </si>
  <si>
    <t>2" x 4" x 9 Stud</t>
  </si>
  <si>
    <t>2" x 4" LF Plates</t>
  </si>
  <si>
    <t>2" x 6" x 8' Stud</t>
  </si>
  <si>
    <t>2" x 6" x 9 Stud</t>
  </si>
  <si>
    <t>2" x 6" LF Plates</t>
  </si>
  <si>
    <t>2" x 6" LF Headers</t>
  </si>
  <si>
    <t>LVL for Headers LF</t>
  </si>
  <si>
    <t>7/16" x 9" OSB</t>
  </si>
  <si>
    <t>Tyvek 100' Roll</t>
  </si>
  <si>
    <t>Z flashing</t>
  </si>
  <si>
    <t>2" x 6" ridge and valleyLF</t>
  </si>
  <si>
    <t>2" x 4"  outriggers LF</t>
  </si>
  <si>
    <t>2" x 6" Fascia &amp; OvH LF</t>
  </si>
  <si>
    <t>5/8" Plywood</t>
  </si>
  <si>
    <t>Winterguard</t>
  </si>
  <si>
    <t>Ridge vent LF (20'/roll)</t>
  </si>
  <si>
    <t>Vented soffit SQF</t>
  </si>
  <si>
    <t>F-channel LF</t>
  </si>
  <si>
    <t>Vinyl siding Mainstreet</t>
  </si>
  <si>
    <t>Vinyl siding  (General)</t>
  </si>
  <si>
    <t>J channel LF</t>
  </si>
  <si>
    <t>Inside corner</t>
  </si>
  <si>
    <t>Outside corner</t>
  </si>
  <si>
    <t>Anderson Sliding door 6'</t>
  </si>
  <si>
    <t>40" x 40" And. Casemen</t>
  </si>
  <si>
    <t>30" x 40" vinyl casement</t>
  </si>
  <si>
    <t>30" x 48" vinyl egress</t>
  </si>
  <si>
    <t>36" Service door stock</t>
  </si>
  <si>
    <t>36"x 6" #61 clad/prepaint</t>
  </si>
  <si>
    <t>4ml x 8.3' x 100'</t>
  </si>
  <si>
    <t>R-19 16" (49SF/bag)</t>
  </si>
  <si>
    <t>R-19 23" (75SF/bag)</t>
  </si>
  <si>
    <t>Klein Insulation SF</t>
  </si>
  <si>
    <t>Rafter Vent</t>
  </si>
  <si>
    <t>4" x 8" x 5/8" Sheetrock</t>
  </si>
  <si>
    <t>4" x 8" x 1/2" Sheetrock</t>
  </si>
  <si>
    <t>Joint Compound &amp; Tape</t>
  </si>
  <si>
    <t>Corner Bead</t>
  </si>
  <si>
    <t>Plastic Corner Bead</t>
  </si>
  <si>
    <t>6/0 Bifold/CasingOak</t>
  </si>
  <si>
    <t>3/0 Oak Prehung/casing</t>
  </si>
  <si>
    <t>3/0 Oak 6-panel/casing</t>
  </si>
  <si>
    <t>Oak casing Ranch/ Col</t>
  </si>
  <si>
    <t>Oak base 3 1/4" LF</t>
  </si>
  <si>
    <t>1/4" 5-ply underlayment</t>
  </si>
  <si>
    <t>1" x 4" #2 LF</t>
  </si>
  <si>
    <t>1" x 6" #2 LF</t>
  </si>
  <si>
    <t>1" x 8" #2 LF</t>
  </si>
  <si>
    <t>1" x 10" #2 LF</t>
  </si>
  <si>
    <t>1" x 12" #2 LF</t>
  </si>
  <si>
    <t>Prefi Closet Shelf 12"x12"</t>
  </si>
  <si>
    <t>Nail Allowance</t>
  </si>
  <si>
    <t>Oak Handrail</t>
  </si>
  <si>
    <t>Oak 1"x 4" LF</t>
  </si>
  <si>
    <t>Oak 1"x 6" LF</t>
  </si>
  <si>
    <t>Oak 1"x 8" LF</t>
  </si>
  <si>
    <t>3/4" Oak Plywood</t>
  </si>
  <si>
    <t>1/4" Oak Plywood</t>
  </si>
  <si>
    <t>4 1/4" Oak Crown LF</t>
  </si>
  <si>
    <t>Footing 24" x 8" LF</t>
  </si>
  <si>
    <t>6" insulat for Band SF</t>
  </si>
  <si>
    <t>Subfloor Glue</t>
  </si>
  <si>
    <t>Roof truss gable Bldg SF</t>
  </si>
  <si>
    <t>Roof truss hip Bldg SF</t>
  </si>
  <si>
    <t>Material Name</t>
  </si>
  <si>
    <t>Price</t>
  </si>
  <si>
    <t>Quantity</t>
  </si>
  <si>
    <t>Total</t>
  </si>
  <si>
    <t>Job</t>
  </si>
  <si>
    <t xml:space="preserve">Hours </t>
  </si>
  <si>
    <t>Rate</t>
  </si>
  <si>
    <t>Roof Labor Price</t>
  </si>
  <si>
    <t>Roof Price from Worksheet</t>
  </si>
  <si>
    <t xml:space="preserve">36"x 6" Lee Front door </t>
  </si>
  <si>
    <t>Handrail Bracket</t>
  </si>
  <si>
    <t>7' Closet Package 1x4, Shelf, Rod, 2 Brackets, 2 ends, 2 hooks</t>
  </si>
  <si>
    <t>Floor Size</t>
  </si>
  <si>
    <t>Exterior wall LF</t>
  </si>
  <si>
    <t>Exterior Wall SF</t>
  </si>
  <si>
    <t>SF</t>
  </si>
  <si>
    <t>LF</t>
  </si>
  <si>
    <t>Interior wall LF</t>
  </si>
  <si>
    <t>Eave Fascia LF</t>
  </si>
  <si>
    <t>Foundation size</t>
  </si>
  <si>
    <t>SQ</t>
  </si>
  <si>
    <t>Enter 1 for 2 x 10 joists</t>
  </si>
  <si>
    <t>Eave LF</t>
  </si>
  <si>
    <t>Rake LF</t>
  </si>
  <si>
    <t>Sq Ft</t>
  </si>
  <si>
    <t>Roof #1</t>
  </si>
  <si>
    <t>x 2.4</t>
  </si>
  <si>
    <t>Roof #3</t>
  </si>
  <si>
    <t>\3=# of cap</t>
  </si>
  <si>
    <t>Roof #4</t>
  </si>
  <si>
    <t xml:space="preserve">Bundles of cap </t>
  </si>
  <si>
    <t>Roof #5</t>
  </si>
  <si>
    <t>SqFt of Cap</t>
  </si>
  <si>
    <t>Roof #6</t>
  </si>
  <si>
    <t>Layers</t>
  </si>
  <si>
    <t>weight</t>
  </si>
  <si>
    <t>SgFt</t>
  </si>
  <si>
    <t>Tear off</t>
  </si>
  <si>
    <t>Total SQ Ft</t>
  </si>
  <si>
    <t>LF of Winterguard</t>
  </si>
  <si>
    <t>Rolls of winterguard</t>
  </si>
  <si>
    <t>$/SQ</t>
  </si>
  <si>
    <t xml:space="preserve">Oakridge 30 </t>
  </si>
  <si>
    <t>Tear off Shingles</t>
  </si>
  <si>
    <t>4/12 1 Layer</t>
  </si>
  <si>
    <t>4/12 2 Layer</t>
  </si>
  <si>
    <t>12/12 3 Layer</t>
  </si>
  <si>
    <t>Gutter Apron LF</t>
  </si>
  <si>
    <t>ODE LF</t>
  </si>
  <si>
    <t>Style -D LF</t>
  </si>
  <si>
    <t>Install Sheathing</t>
  </si>
  <si>
    <t>W-Valley 20"</t>
  </si>
  <si>
    <t>Easy 4/12</t>
  </si>
  <si>
    <t>Medium 8/12</t>
  </si>
  <si>
    <t>Chimney Flashing</t>
  </si>
  <si>
    <t>Difficult 12/12</t>
  </si>
  <si>
    <t>Pipe Flashing</t>
  </si>
  <si>
    <t>Tin Shingles</t>
  </si>
  <si>
    <t>Urethane caulk</t>
  </si>
  <si>
    <t>11/4" roofing nails</t>
  </si>
  <si>
    <t>Staples/Misc</t>
  </si>
  <si>
    <t>Shingling</t>
  </si>
  <si>
    <t>Steathing staple</t>
  </si>
  <si>
    <t>4/12 Easy</t>
  </si>
  <si>
    <t>3/4" plywood</t>
  </si>
  <si>
    <t>4/12 Hips &amp; valleys</t>
  </si>
  <si>
    <t>2 x 4 LF</t>
  </si>
  <si>
    <t>6/12 -8/12</t>
  </si>
  <si>
    <t>2 x 6 LF</t>
  </si>
  <si>
    <t>Easy 12/12</t>
  </si>
  <si>
    <t>Ridge vents LF 20'</t>
  </si>
  <si>
    <t>Vents</t>
  </si>
  <si>
    <t>6" Alum Fascia</t>
  </si>
  <si>
    <t>Selvage Edge</t>
  </si>
  <si>
    <t>Difficult areas extra</t>
  </si>
  <si>
    <t>Gallon of Tar</t>
  </si>
  <si>
    <t>Brush</t>
  </si>
  <si>
    <t>1 x 6 LF</t>
  </si>
  <si>
    <t>1 x 8 LF</t>
  </si>
  <si>
    <t>Install fascia</t>
  </si>
  <si>
    <t>1 x 12 LF</t>
  </si>
  <si>
    <t>Replace rotten fascia</t>
  </si>
  <si>
    <t>Dura Last SF</t>
  </si>
  <si>
    <t>4" PVC Roof Edge</t>
  </si>
  <si>
    <t>Rubber roof SF</t>
  </si>
  <si>
    <t>Rubber Labor SF</t>
  </si>
  <si>
    <t>Total Labor</t>
  </si>
  <si>
    <t>Landfill and Haul</t>
  </si>
  <si>
    <t>Total Materials</t>
  </si>
  <si>
    <t>Gable end</t>
  </si>
  <si>
    <t>Roof pitch</t>
  </si>
  <si>
    <t>Rake fascia 4/12</t>
  </si>
  <si>
    <t>Exterior Wall Total SF</t>
  </si>
  <si>
    <t>Interior wall  Sf</t>
  </si>
  <si>
    <t>All walls for base LF</t>
  </si>
  <si>
    <t>All walls for SR SF</t>
  </si>
  <si>
    <t>Subtotal Materials</t>
  </si>
  <si>
    <t>Total Hours</t>
  </si>
  <si>
    <t>Outlets/ box</t>
  </si>
  <si>
    <t>GFI outlet / box</t>
  </si>
  <si>
    <t>Light box w/switch /box</t>
  </si>
  <si>
    <t>Light w 3-way switch</t>
  </si>
  <si>
    <t>Breaker</t>
  </si>
  <si>
    <t>4-light flourscent Kitchen</t>
  </si>
  <si>
    <t>4-light traufler</t>
  </si>
  <si>
    <t>Bedroom light</t>
  </si>
  <si>
    <t>12/2 wire 100'</t>
  </si>
  <si>
    <t>14/2 wire 100'</t>
  </si>
  <si>
    <t>14/3 wire 25'</t>
  </si>
  <si>
    <t>Materials</t>
  </si>
  <si>
    <t>Labor</t>
  </si>
  <si>
    <t>Labor w/ 10% markup</t>
  </si>
  <si>
    <t>&lt;Job Name</t>
  </si>
  <si>
    <t>11/2"x 4' x 8' Dow Styro</t>
  </si>
  <si>
    <t>3/4"4'x8' Dow Styrofoam</t>
  </si>
  <si>
    <t>Linoleum SF</t>
  </si>
  <si>
    <t>Carpet Berber</t>
  </si>
  <si>
    <t>Carpet Plush</t>
  </si>
  <si>
    <t>Pad</t>
  </si>
  <si>
    <t>Linoleum Install SF</t>
  </si>
  <si>
    <t>Carpet Install SF</t>
  </si>
  <si>
    <t>Roof #7</t>
  </si>
  <si>
    <t>Roof #8</t>
  </si>
  <si>
    <t>Roof #9</t>
  </si>
  <si>
    <t>Roof #10</t>
  </si>
  <si>
    <t>Valley LF</t>
  </si>
  <si>
    <t>Ridge Vent LF</t>
  </si>
  <si>
    <t>Window wrap each</t>
  </si>
  <si>
    <t>Instructions</t>
  </si>
  <si>
    <t>SF Calculator</t>
  </si>
  <si>
    <t>Cap Calculator LF</t>
  </si>
  <si>
    <t>Use SF calculator to figure SQ</t>
  </si>
  <si>
    <t>Add Eave and Rake below</t>
  </si>
  <si>
    <t>Add ridge vent below</t>
  </si>
  <si>
    <t>Sub total</t>
  </si>
  <si>
    <t xml:space="preserve">Cap </t>
  </si>
  <si>
    <t>Bundles of cap</t>
  </si>
  <si>
    <t>Squares for Total roof</t>
  </si>
  <si>
    <t xml:space="preserve">Actual Eave </t>
  </si>
  <si>
    <t>Actual Rake</t>
  </si>
  <si>
    <t>Duration</t>
  </si>
  <si>
    <t>OSB /Sq $7/pc</t>
  </si>
  <si>
    <t>3/8" plywood/SQ</t>
  </si>
  <si>
    <t>Bath vent &amp; hose</t>
  </si>
  <si>
    <t>Length Eave</t>
  </si>
  <si>
    <t>Width Gable</t>
  </si>
  <si>
    <t>&lt;Overhang</t>
  </si>
  <si>
    <t>Soffit overhang</t>
  </si>
  <si>
    <t>Wall Height&gt;</t>
  </si>
  <si>
    <t xml:space="preserve">  X</t>
  </si>
  <si>
    <t>Center Beam Enter length</t>
  </si>
  <si>
    <t>2' x 10" LF beam</t>
  </si>
  <si>
    <t>Windows SF Pricing</t>
  </si>
  <si>
    <t>Estimate</t>
  </si>
  <si>
    <t>Billing</t>
  </si>
  <si>
    <t>That Last 1/2 Day</t>
  </si>
  <si>
    <t>4"x 6" Treated LF</t>
  </si>
  <si>
    <t>Concrete for 8" walls SF</t>
  </si>
  <si>
    <t>2" x 4" footing framing LF</t>
  </si>
  <si>
    <t xml:space="preserve">Cement board 4x8 </t>
  </si>
  <si>
    <t>2" x 8" treated LF</t>
  </si>
  <si>
    <t xml:space="preserve">9 1/2" I joists LF </t>
  </si>
  <si>
    <t>3/4" OSB T&amp;G</t>
  </si>
  <si>
    <t>5/8" OSB</t>
  </si>
  <si>
    <t>5/8" Clips</t>
  </si>
  <si>
    <t xml:space="preserve">6" Alum. Fascia </t>
  </si>
  <si>
    <t>Metal Starter LF</t>
  </si>
  <si>
    <t>Dual U.72ndersill LF</t>
  </si>
  <si>
    <t>Gibson egress window</t>
  </si>
  <si>
    <t>Foundation</t>
  </si>
  <si>
    <t>Floor system</t>
  </si>
  <si>
    <t>Wall Framing &amp; Sheathing</t>
  </si>
  <si>
    <t>Tyvek Tape</t>
  </si>
  <si>
    <t>Roof Framing</t>
  </si>
  <si>
    <t>Siding</t>
  </si>
  <si>
    <t>Windows and Doors</t>
  </si>
  <si>
    <t>Entry Lock</t>
  </si>
  <si>
    <t>Deadbolt</t>
  </si>
  <si>
    <t>Electrical</t>
  </si>
  <si>
    <t>Insulation</t>
  </si>
  <si>
    <t>Sheetrock</t>
  </si>
  <si>
    <t>Millwork</t>
  </si>
  <si>
    <t>Soffit</t>
  </si>
  <si>
    <t>Excavation</t>
  </si>
  <si>
    <t>Labor Task</t>
  </si>
  <si>
    <t>Denotes Craftsman Price</t>
  </si>
  <si>
    <t>Footing 18" x 10" LF</t>
  </si>
  <si>
    <t>2" x 8" treated LF Sill Plate</t>
  </si>
  <si>
    <t>2" x 4" x 8' Stud LF</t>
  </si>
  <si>
    <t>2" x 6" x 8' Stud LF</t>
  </si>
  <si>
    <t>2" x 6" x 9 Stud LF</t>
  </si>
  <si>
    <t>Average for opening</t>
  </si>
  <si>
    <t xml:space="preserve">Assumes 2 x 6 Ext. Wall </t>
  </si>
  <si>
    <t>Window and door openings</t>
  </si>
  <si>
    <t>1/2" x 9" OSB</t>
  </si>
  <si>
    <t>Roof Area</t>
  </si>
  <si>
    <t>Roof Tie area</t>
  </si>
  <si>
    <t>X</t>
  </si>
  <si>
    <t>Total roof Area</t>
  </si>
  <si>
    <t xml:space="preserve">SF </t>
  </si>
  <si>
    <t>SF of Window area</t>
  </si>
  <si>
    <t>Total w/ 7% Tax</t>
  </si>
  <si>
    <t>Subtotal</t>
  </si>
  <si>
    <t>Overhead 10%</t>
  </si>
  <si>
    <t>Markup 15%</t>
  </si>
  <si>
    <t>My Estimate</t>
  </si>
  <si>
    <t>National Estimator Estimate</t>
  </si>
  <si>
    <t>Additions Estimator with National Estimator Running in parrelell</t>
  </si>
  <si>
    <t>Yellow Cells need data from user</t>
  </si>
  <si>
    <t>Gray Cells indicate formula in cell</t>
  </si>
  <si>
    <t>Worksheet assumes 3 sided addition with gable roof</t>
  </si>
  <si>
    <t>Assumes 2 x 6 Ext. Wall</t>
  </si>
  <si>
    <t>Total w/ 7% Tax 20% markup</t>
  </si>
  <si>
    <t xml:space="preserve">Subtotal  </t>
  </si>
  <si>
    <t>Materials Markup 20%</t>
  </si>
  <si>
    <t>Contingency 5%</t>
  </si>
  <si>
    <t>Concrete included Above</t>
  </si>
  <si>
    <t>1/2" x 20' Rebar /LF</t>
  </si>
  <si>
    <t>3/4" T&amp;G w/ 10% waste</t>
  </si>
  <si>
    <t>2" x 6" ridge &amp; valley  tie in LF</t>
  </si>
  <si>
    <t>2' x 10" SF</t>
  </si>
  <si>
    <t xml:space="preserve">9 1/2" I joists SF </t>
  </si>
  <si>
    <t>2" x 6" ridge &amp; valley tie in LF</t>
  </si>
  <si>
    <t>Painting</t>
  </si>
  <si>
    <t>Primer</t>
  </si>
  <si>
    <t>Finish Coat</t>
  </si>
  <si>
    <t>Rollers, tape &amp; supplies</t>
  </si>
  <si>
    <t>Stain</t>
  </si>
  <si>
    <t>Laquer</t>
  </si>
  <si>
    <t>Spraying Laquer</t>
  </si>
  <si>
    <t xml:space="preserve">Interior Painting </t>
  </si>
  <si>
    <t>Finish Coat 2 coats</t>
  </si>
  <si>
    <t>Painting 2 coats</t>
  </si>
  <si>
    <t>Total Sheetrock Wall &amp; Ceil</t>
  </si>
  <si>
    <t>Excavation sub contractor</t>
  </si>
  <si>
    <t>Form Footing</t>
  </si>
  <si>
    <t>Pour footing</t>
  </si>
  <si>
    <t>Lay Lite-forms</t>
  </si>
  <si>
    <t>Pour Fours</t>
  </si>
  <si>
    <t>Attach cement board</t>
  </si>
  <si>
    <t>Attach Sill</t>
  </si>
  <si>
    <t>Install beam</t>
  </si>
  <si>
    <t>Lay up joists</t>
  </si>
  <si>
    <t>Bridging</t>
  </si>
  <si>
    <t>Install Bridging</t>
  </si>
  <si>
    <t>Insulate Band joist</t>
  </si>
  <si>
    <t>Lay Subfloor</t>
  </si>
  <si>
    <t>Lay out plates</t>
  </si>
  <si>
    <t>Build Headers</t>
  </si>
  <si>
    <t>Build walls</t>
  </si>
  <si>
    <t>Install double plates</t>
  </si>
  <si>
    <t>Install sheathing</t>
  </si>
  <si>
    <t>Install Housewrap</t>
  </si>
  <si>
    <t>Z-flashing</t>
  </si>
  <si>
    <t>Frame roof</t>
  </si>
  <si>
    <t>Install subfascia</t>
  </si>
  <si>
    <t>Outriggers</t>
  </si>
  <si>
    <t>Tie roof into existing</t>
  </si>
  <si>
    <t>Cut back old shingles</t>
  </si>
  <si>
    <t>Lay plywood</t>
  </si>
  <si>
    <t>Install Soffit</t>
  </si>
  <si>
    <t>Install Fascia</t>
  </si>
  <si>
    <t>Install Starter</t>
  </si>
  <si>
    <t>Install J-Channel</t>
  </si>
  <si>
    <t>Install siding</t>
  </si>
  <si>
    <t>Install Windows</t>
  </si>
  <si>
    <t>Window Wrap</t>
  </si>
  <si>
    <t>Install doors</t>
  </si>
  <si>
    <t>Window &amp; Door wrap each</t>
  </si>
  <si>
    <t>Job Name</t>
  </si>
  <si>
    <t>Cargin Const. Roofing Worksheet</t>
  </si>
  <si>
    <t>Hip &amp; Ridge LF</t>
  </si>
  <si>
    <t>Use w/ 3-tab</t>
  </si>
  <si>
    <t>Roof #2</t>
  </si>
  <si>
    <t>Yellow cells require Data</t>
  </si>
  <si>
    <t>Gray cells have formulas</t>
  </si>
  <si>
    <t>lbs.</t>
  </si>
  <si>
    <t>Tons roundup</t>
  </si>
  <si>
    <t># of Pipe Flashing</t>
  </si>
  <si>
    <t>Chimney Vent Flashing</t>
  </si>
  <si>
    <t>Tin Shingle areas</t>
  </si>
  <si>
    <t>Satellite Dish</t>
  </si>
  <si>
    <t>Cut ridge close vents</t>
  </si>
  <si>
    <t>OC cap 20'</t>
  </si>
  <si>
    <t>Hips and Valley</t>
  </si>
  <si>
    <t>XT 30 Call for price</t>
  </si>
  <si>
    <t>Landmark 30 Call for Price</t>
  </si>
  <si>
    <t>Metric Starter  116'</t>
  </si>
  <si>
    <t>Roofer's Select</t>
  </si>
  <si>
    <t>30 lb Tar Paper</t>
  </si>
  <si>
    <t>Painted Valley</t>
  </si>
  <si>
    <t>3/4" OSB</t>
  </si>
  <si>
    <t>Ridge Vent</t>
  </si>
  <si>
    <t xml:space="preserve">Cut for ridge vent </t>
  </si>
  <si>
    <t>6"Steel Fascia Textured</t>
  </si>
  <si>
    <t>Satellite dish</t>
  </si>
  <si>
    <t>15% &amp; 7%tax</t>
  </si>
  <si>
    <t xml:space="preserve">Add for Duration </t>
  </si>
  <si>
    <t>5% continengency</t>
  </si>
  <si>
    <t>Wall Height</t>
  </si>
  <si>
    <t>Ceiling for Sheetrock</t>
  </si>
  <si>
    <t>Foundation Depth</t>
  </si>
  <si>
    <t>Joe Breaktime</t>
  </si>
  <si>
    <t>Hang Sheetrock</t>
  </si>
  <si>
    <t>Taping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</si>
</sst>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17" applyFill="1" applyAlignment="1">
      <alignment/>
    </xf>
    <xf numFmtId="44" fontId="2" fillId="3" borderId="0" xfId="17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0" fillId="4" borderId="0" xfId="0" applyFill="1" applyAlignment="1">
      <alignment/>
    </xf>
    <xf numFmtId="44" fontId="0" fillId="4" borderId="0" xfId="17" applyFill="1" applyAlignment="1">
      <alignment/>
    </xf>
    <xf numFmtId="0" fontId="0" fillId="5" borderId="0" xfId="0" applyFill="1" applyAlignment="1">
      <alignment/>
    </xf>
    <xf numFmtId="44" fontId="0" fillId="5" borderId="0" xfId="17" applyFill="1" applyAlignment="1">
      <alignment/>
    </xf>
    <xf numFmtId="0" fontId="0" fillId="6" borderId="0" xfId="0" applyFill="1" applyAlignment="1">
      <alignment/>
    </xf>
    <xf numFmtId="44" fontId="2" fillId="0" borderId="0" xfId="17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17" applyFill="1" applyAlignment="1">
      <alignment/>
    </xf>
    <xf numFmtId="0" fontId="0" fillId="7" borderId="0" xfId="0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8" borderId="0" xfId="0" applyFill="1" applyAlignment="1">
      <alignment/>
    </xf>
    <xf numFmtId="44" fontId="0" fillId="8" borderId="0" xfId="17" applyFill="1" applyAlignment="1">
      <alignment/>
    </xf>
    <xf numFmtId="0" fontId="0" fillId="9" borderId="0" xfId="0" applyFill="1" applyAlignment="1">
      <alignment/>
    </xf>
    <xf numFmtId="44" fontId="0" fillId="9" borderId="0" xfId="17" applyFill="1" applyAlignment="1">
      <alignment/>
    </xf>
    <xf numFmtId="0" fontId="6" fillId="9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10" borderId="0" xfId="0" applyFont="1" applyFill="1" applyAlignment="1">
      <alignment/>
    </xf>
    <xf numFmtId="44" fontId="0" fillId="10" borderId="0" xfId="17" applyFill="1" applyAlignment="1">
      <alignment/>
    </xf>
    <xf numFmtId="0" fontId="0" fillId="10" borderId="0" xfId="0" applyFill="1" applyAlignment="1">
      <alignment/>
    </xf>
    <xf numFmtId="0" fontId="6" fillId="11" borderId="0" xfId="0" applyFont="1" applyFill="1" applyAlignment="1">
      <alignment/>
    </xf>
    <xf numFmtId="44" fontId="0" fillId="11" borderId="0" xfId="17" applyFill="1" applyAlignment="1">
      <alignment/>
    </xf>
    <xf numFmtId="0" fontId="0" fillId="11" borderId="0" xfId="0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12" borderId="0" xfId="0" applyFill="1" applyAlignment="1">
      <alignment/>
    </xf>
    <xf numFmtId="44" fontId="0" fillId="12" borderId="0" xfId="17" applyFill="1" applyAlignment="1">
      <alignment/>
    </xf>
    <xf numFmtId="0" fontId="6" fillId="13" borderId="0" xfId="0" applyFont="1" applyFill="1" applyAlignment="1">
      <alignment/>
    </xf>
    <xf numFmtId="44" fontId="0" fillId="13" borderId="0" xfId="17" applyFill="1" applyAlignment="1">
      <alignment/>
    </xf>
    <xf numFmtId="0" fontId="0" fillId="13" borderId="0" xfId="0" applyFill="1" applyAlignment="1">
      <alignment/>
    </xf>
    <xf numFmtId="0" fontId="6" fillId="2" borderId="0" xfId="0" applyFont="1" applyFill="1" applyAlignment="1">
      <alignment/>
    </xf>
    <xf numFmtId="44" fontId="0" fillId="2" borderId="0" xfId="17" applyFill="1" applyAlignment="1">
      <alignment/>
    </xf>
    <xf numFmtId="0" fontId="6" fillId="6" borderId="0" xfId="0" applyFont="1" applyFill="1" applyAlignment="1">
      <alignment/>
    </xf>
    <xf numFmtId="44" fontId="0" fillId="6" borderId="0" xfId="17" applyFill="1" applyAlignment="1">
      <alignment/>
    </xf>
    <xf numFmtId="44" fontId="0" fillId="5" borderId="0" xfId="17" applyFont="1" applyFill="1" applyAlignment="1">
      <alignment/>
    </xf>
    <xf numFmtId="0" fontId="0" fillId="5" borderId="0" xfId="0" applyFont="1" applyFill="1" applyAlignment="1">
      <alignment/>
    </xf>
    <xf numFmtId="0" fontId="6" fillId="7" borderId="0" xfId="0" applyFont="1" applyFill="1" applyAlignment="1">
      <alignment/>
    </xf>
    <xf numFmtId="44" fontId="0" fillId="7" borderId="0" xfId="17" applyFill="1" applyAlignment="1">
      <alignment/>
    </xf>
    <xf numFmtId="0" fontId="6" fillId="1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Alignment="1">
      <alignment/>
    </xf>
    <xf numFmtId="44" fontId="0" fillId="3" borderId="0" xfId="17" applyFont="1" applyFill="1" applyAlignment="1">
      <alignment/>
    </xf>
    <xf numFmtId="0" fontId="0" fillId="14" borderId="0" xfId="0" applyFill="1" applyAlignment="1">
      <alignment/>
    </xf>
    <xf numFmtId="44" fontId="0" fillId="14" borderId="0" xfId="17" applyFill="1" applyAlignment="1">
      <alignment/>
    </xf>
    <xf numFmtId="0" fontId="6" fillId="14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" fontId="7" fillId="0" borderId="0" xfId="0" applyNumberFormat="1" applyFont="1" applyAlignment="1">
      <alignment/>
    </xf>
    <xf numFmtId="44" fontId="6" fillId="14" borderId="0" xfId="17" applyFont="1" applyFill="1" applyAlignment="1">
      <alignment/>
    </xf>
    <xf numFmtId="44" fontId="6" fillId="5" borderId="0" xfId="0" applyNumberFormat="1" applyFont="1" applyFill="1" applyAlignment="1">
      <alignment/>
    </xf>
    <xf numFmtId="44" fontId="6" fillId="4" borderId="0" xfId="0" applyNumberFormat="1" applyFont="1" applyFill="1" applyAlignment="1">
      <alignment/>
    </xf>
    <xf numFmtId="44" fontId="6" fillId="6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44" fontId="6" fillId="14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44" fontId="6" fillId="5" borderId="0" xfId="17" applyFont="1" applyFill="1" applyAlignment="1">
      <alignment/>
    </xf>
    <xf numFmtId="0" fontId="6" fillId="15" borderId="0" xfId="0" applyFont="1" applyFill="1" applyAlignment="1">
      <alignment/>
    </xf>
    <xf numFmtId="44" fontId="6" fillId="15" borderId="0" xfId="0" applyNumberFormat="1" applyFont="1" applyFill="1" applyAlignment="1">
      <alignment/>
    </xf>
    <xf numFmtId="44" fontId="6" fillId="0" borderId="0" xfId="0" applyNumberFormat="1" applyFont="1" applyFill="1" applyAlignment="1">
      <alignment/>
    </xf>
    <xf numFmtId="44" fontId="6" fillId="10" borderId="0" xfId="0" applyNumberFormat="1" applyFont="1" applyFill="1" applyAlignment="1">
      <alignment/>
    </xf>
    <xf numFmtId="44" fontId="0" fillId="8" borderId="0" xfId="17" applyFont="1" applyFill="1" applyAlignment="1">
      <alignment/>
    </xf>
    <xf numFmtId="0" fontId="0" fillId="3" borderId="0" xfId="0" applyFont="1" applyFill="1" applyAlignment="1">
      <alignment/>
    </xf>
    <xf numFmtId="44" fontId="0" fillId="3" borderId="0" xfId="0" applyNumberFormat="1" applyFont="1" applyFill="1" applyAlignment="1">
      <alignment/>
    </xf>
    <xf numFmtId="44" fontId="0" fillId="14" borderId="0" xfId="17" applyFont="1" applyFill="1" applyAlignment="1">
      <alignment/>
    </xf>
    <xf numFmtId="0" fontId="0" fillId="15" borderId="0" xfId="0" applyFill="1" applyAlignment="1">
      <alignment/>
    </xf>
    <xf numFmtId="44" fontId="0" fillId="15" borderId="0" xfId="17" applyFill="1" applyAlignment="1">
      <alignment/>
    </xf>
    <xf numFmtId="44" fontId="0" fillId="12" borderId="0" xfId="0" applyNumberFormat="1" applyFill="1" applyAlignment="1">
      <alignment/>
    </xf>
    <xf numFmtId="44" fontId="6" fillId="2" borderId="0" xfId="17" applyFont="1" applyFill="1" applyAlignment="1">
      <alignment/>
    </xf>
    <xf numFmtId="44" fontId="0" fillId="2" borderId="0" xfId="0" applyNumberFormat="1" applyFill="1" applyAlignment="1">
      <alignment/>
    </xf>
    <xf numFmtId="0" fontId="8" fillId="10" borderId="0" xfId="0" applyFont="1" applyFill="1" applyAlignment="1">
      <alignment/>
    </xf>
    <xf numFmtId="44" fontId="8" fillId="10" borderId="0" xfId="17" applyFont="1" applyFill="1" applyAlignment="1">
      <alignment/>
    </xf>
    <xf numFmtId="0" fontId="2" fillId="8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0" fillId="10" borderId="0" xfId="0" applyFont="1" applyFill="1" applyAlignment="1">
      <alignment/>
    </xf>
    <xf numFmtId="0" fontId="11" fillId="10" borderId="0" xfId="0" applyFont="1" applyFill="1" applyAlignment="1">
      <alignment/>
    </xf>
    <xf numFmtId="0" fontId="7" fillId="4" borderId="0" xfId="0" applyFont="1" applyFill="1" applyAlignment="1">
      <alignment/>
    </xf>
    <xf numFmtId="44" fontId="7" fillId="4" borderId="0" xfId="17" applyFont="1" applyFill="1" applyAlignment="1">
      <alignment/>
    </xf>
    <xf numFmtId="44" fontId="6" fillId="4" borderId="0" xfId="17" applyFont="1" applyFill="1" applyAlignment="1">
      <alignment/>
    </xf>
    <xf numFmtId="0" fontId="7" fillId="5" borderId="0" xfId="0" applyFont="1" applyFill="1" applyAlignment="1">
      <alignment/>
    </xf>
    <xf numFmtId="44" fontId="7" fillId="5" borderId="0" xfId="17" applyFont="1" applyFill="1" applyAlignment="1">
      <alignment/>
    </xf>
    <xf numFmtId="0" fontId="7" fillId="13" borderId="0" xfId="0" applyFont="1" applyFill="1" applyAlignment="1">
      <alignment/>
    </xf>
    <xf numFmtId="44" fontId="7" fillId="13" borderId="0" xfId="17" applyFont="1" applyFill="1" applyAlignment="1">
      <alignment/>
    </xf>
    <xf numFmtId="44" fontId="6" fillId="13" borderId="0" xfId="17" applyFont="1" applyFill="1" applyAlignment="1">
      <alignment/>
    </xf>
    <xf numFmtId="0" fontId="7" fillId="6" borderId="0" xfId="0" applyFont="1" applyFill="1" applyAlignment="1">
      <alignment/>
    </xf>
    <xf numFmtId="44" fontId="7" fillId="6" borderId="0" xfId="17" applyFont="1" applyFill="1" applyAlignment="1">
      <alignment/>
    </xf>
    <xf numFmtId="44" fontId="6" fillId="6" borderId="0" xfId="17" applyFont="1" applyFill="1" applyAlignment="1">
      <alignment/>
    </xf>
    <xf numFmtId="44" fontId="0" fillId="0" borderId="0" xfId="17" applyFont="1" applyAlignment="1">
      <alignment/>
    </xf>
    <xf numFmtId="0" fontId="6" fillId="16" borderId="0" xfId="0" applyFont="1" applyFill="1" applyAlignment="1">
      <alignment/>
    </xf>
    <xf numFmtId="44" fontId="6" fillId="16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44" fontId="10" fillId="5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44" fontId="10" fillId="4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44" fontId="10" fillId="6" borderId="0" xfId="0" applyNumberFormat="1" applyFont="1" applyFill="1" applyAlignment="1">
      <alignment/>
    </xf>
    <xf numFmtId="44" fontId="10" fillId="16" borderId="0" xfId="0" applyNumberFormat="1" applyFont="1" applyFill="1" applyAlignment="1">
      <alignment/>
    </xf>
    <xf numFmtId="0" fontId="10" fillId="16" borderId="0" xfId="0" applyFont="1" applyFill="1" applyAlignment="1">
      <alignment/>
    </xf>
    <xf numFmtId="44" fontId="0" fillId="0" borderId="0" xfId="17" applyFont="1" applyAlignment="1">
      <alignment/>
    </xf>
    <xf numFmtId="44" fontId="0" fillId="0" borderId="0" xfId="17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e\Desktop\cargin%20construction%203\A%20Worksheets\A%20Basement%20with%20National%20Estimator#2%20%20work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e\Desktop\cargin%20construction%203\A%20Worksheets\Roofing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  <sheetName val="National Estimator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6">
          <cell r="I76">
            <v>0</v>
          </cell>
        </row>
      </sheetData>
      <sheetData sheetId="1">
        <row r="51">
          <cell r="I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15.7109375" style="0" customWidth="1"/>
    <col min="4" max="4" width="12.7109375" style="0" customWidth="1"/>
    <col min="9" max="9" width="15.7109375" style="0" customWidth="1"/>
    <col min="11" max="11" width="12.7109375" style="0" customWidth="1"/>
  </cols>
  <sheetData>
    <row r="1" spans="1:8" ht="15.75">
      <c r="A1" s="29" t="s">
        <v>281</v>
      </c>
      <c r="B1" s="29"/>
      <c r="C1" s="29"/>
      <c r="D1" s="29"/>
      <c r="E1" s="22"/>
      <c r="F1" s="22"/>
      <c r="G1" s="22"/>
      <c r="H1" s="22"/>
    </row>
    <row r="2" spans="1:8" ht="15.75">
      <c r="A2" s="29" t="s">
        <v>284</v>
      </c>
      <c r="B2" s="29"/>
      <c r="C2" s="29"/>
      <c r="D2" s="29"/>
      <c r="E2" s="22"/>
      <c r="F2" s="22"/>
      <c r="G2" s="22"/>
      <c r="H2" s="22"/>
    </row>
    <row r="3" spans="1:8" ht="15.75">
      <c r="A3" s="42" t="s">
        <v>282</v>
      </c>
      <c r="B3" s="42"/>
      <c r="C3" s="22"/>
      <c r="D3" s="22"/>
      <c r="E3" s="22"/>
      <c r="F3" s="22"/>
      <c r="G3" s="22"/>
      <c r="H3" s="22"/>
    </row>
    <row r="4" spans="1:8" ht="15.75">
      <c r="A4" s="69" t="s">
        <v>283</v>
      </c>
      <c r="B4" s="69"/>
      <c r="C4" s="22"/>
      <c r="D4" s="22"/>
      <c r="E4" s="22"/>
      <c r="F4" s="22"/>
      <c r="G4" s="22"/>
      <c r="H4" s="22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8" ht="18">
      <c r="A6" s="90" t="s">
        <v>376</v>
      </c>
      <c r="B6" s="91" t="s">
        <v>186</v>
      </c>
      <c r="C6" s="22"/>
      <c r="D6" s="22"/>
      <c r="E6" s="22"/>
      <c r="F6" s="22"/>
      <c r="G6" s="22"/>
      <c r="H6" s="22"/>
    </row>
    <row r="7" spans="1:9" ht="15.75">
      <c r="A7" s="48" t="s">
        <v>0</v>
      </c>
      <c r="B7" s="48" t="s">
        <v>218</v>
      </c>
      <c r="C7" s="48" t="s">
        <v>219</v>
      </c>
      <c r="D7" s="48" t="s">
        <v>218</v>
      </c>
      <c r="E7" s="48"/>
      <c r="F7" s="48" t="s">
        <v>77</v>
      </c>
      <c r="I7" s="9"/>
    </row>
    <row r="8" spans="1:9" ht="15.75">
      <c r="A8" s="57" t="s">
        <v>164</v>
      </c>
      <c r="B8" s="42">
        <v>4</v>
      </c>
      <c r="C8" s="57"/>
      <c r="D8" s="57"/>
      <c r="E8" s="57"/>
      <c r="F8" s="57"/>
      <c r="G8" s="57"/>
      <c r="H8" s="57"/>
      <c r="I8" s="9"/>
    </row>
    <row r="9" spans="1:8" ht="15.75">
      <c r="A9" s="22" t="s">
        <v>93</v>
      </c>
      <c r="B9" s="58">
        <v>20</v>
      </c>
      <c r="C9" s="58">
        <v>32</v>
      </c>
      <c r="D9" s="58">
        <v>20</v>
      </c>
      <c r="F9" s="69">
        <f>(B9+C9+D9)*B10</f>
        <v>360</v>
      </c>
      <c r="G9" s="60" t="s">
        <v>94</v>
      </c>
      <c r="H9" s="22" t="s">
        <v>93</v>
      </c>
    </row>
    <row r="10" spans="1:8" ht="15.75">
      <c r="A10" s="22" t="s">
        <v>375</v>
      </c>
      <c r="B10" s="58">
        <v>5</v>
      </c>
      <c r="C10" s="61"/>
      <c r="D10" s="61"/>
      <c r="E10" s="61"/>
      <c r="F10" s="69"/>
      <c r="G10" s="60"/>
      <c r="H10" s="22"/>
    </row>
    <row r="11" spans="1:8" ht="15.75">
      <c r="A11" s="22" t="s">
        <v>86</v>
      </c>
      <c r="B11" s="58">
        <v>20</v>
      </c>
      <c r="C11" s="58">
        <v>32</v>
      </c>
      <c r="D11" s="61"/>
      <c r="E11" s="60"/>
      <c r="F11" s="69">
        <f>B11*C11</f>
        <v>640</v>
      </c>
      <c r="G11" s="60" t="s">
        <v>89</v>
      </c>
      <c r="H11" s="22" t="s">
        <v>86</v>
      </c>
    </row>
    <row r="12" spans="1:8" ht="15.75">
      <c r="A12" s="22" t="s">
        <v>95</v>
      </c>
      <c r="B12" s="59">
        <v>0</v>
      </c>
      <c r="C12" s="59"/>
      <c r="D12" s="59"/>
      <c r="E12" s="60"/>
      <c r="F12" s="22"/>
      <c r="G12" s="60"/>
      <c r="H12" s="22" t="s">
        <v>95</v>
      </c>
    </row>
    <row r="13" spans="1:8" ht="15.75">
      <c r="A13" s="22" t="s">
        <v>87</v>
      </c>
      <c r="B13" s="59">
        <f>B9</f>
        <v>20</v>
      </c>
      <c r="C13" s="59">
        <f>C9</f>
        <v>32</v>
      </c>
      <c r="D13" s="59">
        <f>D9</f>
        <v>20</v>
      </c>
      <c r="E13" s="60"/>
      <c r="F13" s="69">
        <f>SUM(B13:D14)</f>
        <v>80</v>
      </c>
      <c r="G13" s="60" t="s">
        <v>90</v>
      </c>
      <c r="H13" s="22" t="s">
        <v>87</v>
      </c>
    </row>
    <row r="14" spans="1:8" ht="15.75">
      <c r="A14" s="22" t="s">
        <v>373</v>
      </c>
      <c r="B14" s="58">
        <v>8</v>
      </c>
      <c r="C14" s="59"/>
      <c r="D14" s="59"/>
      <c r="E14" s="60"/>
      <c r="F14" s="69"/>
      <c r="G14" s="60"/>
      <c r="H14" s="22"/>
    </row>
    <row r="15" spans="1:8" ht="15.75">
      <c r="A15" s="22" t="s">
        <v>88</v>
      </c>
      <c r="B15" s="59">
        <f>F13</f>
        <v>80</v>
      </c>
      <c r="C15" s="60">
        <v>20</v>
      </c>
      <c r="D15" s="60"/>
      <c r="F15" s="69">
        <f>B15*(B14+1)</f>
        <v>720</v>
      </c>
      <c r="G15" s="60" t="s">
        <v>89</v>
      </c>
      <c r="H15" s="22" t="s">
        <v>88</v>
      </c>
    </row>
    <row r="16" spans="1:11" ht="15.75">
      <c r="A16" s="22" t="s">
        <v>224</v>
      </c>
      <c r="B16" s="58">
        <v>20</v>
      </c>
      <c r="C16" s="61">
        <f>SUM(C13:C14)</f>
        <v>32</v>
      </c>
      <c r="D16" s="61">
        <f>SUM(D13:D14)</f>
        <v>20</v>
      </c>
      <c r="E16" s="61"/>
      <c r="F16" s="57"/>
      <c r="G16" s="61"/>
      <c r="H16" s="22" t="s">
        <v>224</v>
      </c>
      <c r="I16" s="9"/>
      <c r="J16" s="9"/>
      <c r="K16" s="10"/>
    </row>
    <row r="17" spans="1:11" ht="15.75">
      <c r="A17" s="22" t="s">
        <v>267</v>
      </c>
      <c r="B17" s="58">
        <v>4</v>
      </c>
      <c r="C17" s="61"/>
      <c r="D17" s="61"/>
      <c r="E17" s="61"/>
      <c r="F17" s="57"/>
      <c r="G17" s="61"/>
      <c r="H17" s="22" t="s">
        <v>267</v>
      </c>
      <c r="I17" s="9"/>
      <c r="J17" s="9"/>
      <c r="K17" s="10"/>
    </row>
    <row r="18" spans="1:8" ht="15.75">
      <c r="A18" s="22" t="s">
        <v>91</v>
      </c>
      <c r="B18" s="58">
        <v>40</v>
      </c>
      <c r="C18" s="60"/>
      <c r="D18" s="60"/>
      <c r="E18" s="60"/>
      <c r="F18" s="69">
        <f>B18+C18+D18</f>
        <v>40</v>
      </c>
      <c r="G18" s="60" t="s">
        <v>90</v>
      </c>
      <c r="H18" s="22" t="s">
        <v>91</v>
      </c>
    </row>
    <row r="19" spans="1:8" ht="15.75">
      <c r="A19" s="22" t="s">
        <v>167</v>
      </c>
      <c r="B19" s="59">
        <f>F18</f>
        <v>40</v>
      </c>
      <c r="C19" s="60" t="s">
        <v>223</v>
      </c>
      <c r="D19" s="60" t="s">
        <v>222</v>
      </c>
      <c r="E19" s="58">
        <v>8</v>
      </c>
      <c r="F19" s="69">
        <f>B19*E19</f>
        <v>320</v>
      </c>
      <c r="G19" s="59" t="s">
        <v>89</v>
      </c>
      <c r="H19" s="22" t="s">
        <v>167</v>
      </c>
    </row>
    <row r="20" spans="1:8" ht="15.75">
      <c r="A20" s="22" t="s">
        <v>169</v>
      </c>
      <c r="B20" s="59">
        <f>F15</f>
        <v>720</v>
      </c>
      <c r="C20" s="59">
        <f>F19</f>
        <v>320</v>
      </c>
      <c r="D20" s="59">
        <f>F19</f>
        <v>320</v>
      </c>
      <c r="E20" s="60"/>
      <c r="F20" s="69">
        <f>B20+C20+D20</f>
        <v>1360</v>
      </c>
      <c r="G20" s="60"/>
      <c r="H20" s="22" t="s">
        <v>169</v>
      </c>
    </row>
    <row r="21" spans="1:8" ht="15.75">
      <c r="A21" s="22" t="s">
        <v>374</v>
      </c>
      <c r="B21" s="59">
        <f>B11</f>
        <v>20</v>
      </c>
      <c r="C21" s="59">
        <f>C9</f>
        <v>32</v>
      </c>
      <c r="D21" s="59"/>
      <c r="E21" s="60"/>
      <c r="F21" s="69">
        <f>B21*C21</f>
        <v>640</v>
      </c>
      <c r="G21" s="60"/>
      <c r="H21" s="22"/>
    </row>
    <row r="22" spans="1:8" ht="15.75">
      <c r="A22" s="22" t="s">
        <v>307</v>
      </c>
      <c r="B22" s="59"/>
      <c r="C22" s="59"/>
      <c r="D22" s="59"/>
      <c r="E22" s="60"/>
      <c r="F22" s="69">
        <f>F11+F20</f>
        <v>2000</v>
      </c>
      <c r="G22" s="60"/>
      <c r="H22" s="22" t="s">
        <v>307</v>
      </c>
    </row>
    <row r="23" spans="1:8" ht="15.75">
      <c r="A23" s="22" t="s">
        <v>168</v>
      </c>
      <c r="B23" s="59"/>
      <c r="C23" s="59">
        <f>F18</f>
        <v>40</v>
      </c>
      <c r="D23" s="59">
        <f>F18</f>
        <v>40</v>
      </c>
      <c r="E23" s="60"/>
      <c r="F23" s="69">
        <f>B23+C23+D23</f>
        <v>80</v>
      </c>
      <c r="G23" s="60"/>
      <c r="H23" s="22" t="s">
        <v>168</v>
      </c>
    </row>
    <row r="24" spans="1:8" ht="15.75">
      <c r="A24" s="22" t="s">
        <v>92</v>
      </c>
      <c r="B24" s="58">
        <v>20</v>
      </c>
      <c r="C24" s="58">
        <v>20</v>
      </c>
      <c r="D24" s="59">
        <f>B26</f>
        <v>2</v>
      </c>
      <c r="E24" s="60" t="s">
        <v>220</v>
      </c>
      <c r="F24" s="69">
        <f>B24+C24+(D24*2)</f>
        <v>44</v>
      </c>
      <c r="G24" s="60" t="s">
        <v>90</v>
      </c>
      <c r="H24" s="22" t="s">
        <v>92</v>
      </c>
    </row>
    <row r="25" spans="1:8" ht="15.75">
      <c r="A25" s="22" t="s">
        <v>165</v>
      </c>
      <c r="B25" s="58">
        <v>17</v>
      </c>
      <c r="C25" s="58">
        <v>17</v>
      </c>
      <c r="D25" s="59">
        <f>B26*2</f>
        <v>4</v>
      </c>
      <c r="E25" s="62" t="s">
        <v>220</v>
      </c>
      <c r="F25" s="69">
        <f>B25+C25+D25</f>
        <v>38</v>
      </c>
      <c r="G25" s="60" t="s">
        <v>90</v>
      </c>
      <c r="H25" s="22" t="s">
        <v>165</v>
      </c>
    </row>
    <row r="26" spans="1:8" ht="15.75">
      <c r="A26" s="22" t="s">
        <v>221</v>
      </c>
      <c r="B26" s="58">
        <v>2</v>
      </c>
      <c r="C26" s="60"/>
      <c r="D26" s="59"/>
      <c r="E26" s="60"/>
      <c r="F26" s="22"/>
      <c r="G26" s="60"/>
      <c r="H26" s="22" t="s">
        <v>221</v>
      </c>
    </row>
    <row r="27" spans="1:8" ht="15.75">
      <c r="A27" s="22" t="s">
        <v>269</v>
      </c>
      <c r="B27" s="59">
        <f>F24/2</f>
        <v>22</v>
      </c>
      <c r="C27" s="59">
        <f>F25</f>
        <v>38</v>
      </c>
      <c r="D27" s="59"/>
      <c r="E27" s="60"/>
      <c r="F27" s="22">
        <f>B27*C27</f>
        <v>836</v>
      </c>
      <c r="G27" s="60" t="s">
        <v>273</v>
      </c>
      <c r="H27" s="22" t="s">
        <v>269</v>
      </c>
    </row>
    <row r="28" spans="1:8" ht="15.75">
      <c r="A28" s="22" t="s">
        <v>270</v>
      </c>
      <c r="B28" s="59">
        <f>F30</f>
        <v>86</v>
      </c>
      <c r="C28" s="61" t="s">
        <v>271</v>
      </c>
      <c r="D28" s="61">
        <v>1.5</v>
      </c>
      <c r="E28" s="60"/>
      <c r="F28" s="22">
        <f>B28*D28</f>
        <v>129</v>
      </c>
      <c r="G28" s="60" t="s">
        <v>273</v>
      </c>
      <c r="H28" s="22" t="s">
        <v>270</v>
      </c>
    </row>
    <row r="29" spans="1:8" ht="15.75">
      <c r="A29" s="22" t="s">
        <v>272</v>
      </c>
      <c r="B29" s="59"/>
      <c r="C29" s="61"/>
      <c r="D29" s="61"/>
      <c r="E29" s="60"/>
      <c r="F29" s="22">
        <f>F27+F28</f>
        <v>965</v>
      </c>
      <c r="G29" s="60" t="s">
        <v>273</v>
      </c>
      <c r="H29" s="22" t="s">
        <v>272</v>
      </c>
    </row>
    <row r="30" spans="1:8" ht="15.75">
      <c r="A30" s="22" t="s">
        <v>163</v>
      </c>
      <c r="B30" s="59">
        <f>C9</f>
        <v>32</v>
      </c>
      <c r="C30" s="59">
        <f>(B30/2)</f>
        <v>16</v>
      </c>
      <c r="D30" s="59">
        <f>(C30*B8)/12</f>
        <v>5.333333333333333</v>
      </c>
      <c r="E30" s="60"/>
      <c r="F30" s="69">
        <f>ROUNDUP(C30*D30,0)</f>
        <v>86</v>
      </c>
      <c r="G30" s="60" t="s">
        <v>89</v>
      </c>
      <c r="H30" s="22" t="s">
        <v>163</v>
      </c>
    </row>
    <row r="31" spans="1:8" ht="15.75">
      <c r="A31" s="22" t="s">
        <v>166</v>
      </c>
      <c r="B31" s="60"/>
      <c r="C31" s="60"/>
      <c r="D31" s="60"/>
      <c r="E31" s="60"/>
      <c r="F31" s="69">
        <f>F30+F15</f>
        <v>806</v>
      </c>
      <c r="G31" s="60"/>
      <c r="H31" s="22" t="s">
        <v>166</v>
      </c>
    </row>
    <row r="32" spans="1:8" ht="15.75">
      <c r="A32" s="22" t="s">
        <v>274</v>
      </c>
      <c r="B32" s="60"/>
      <c r="C32" s="60"/>
      <c r="D32" s="60"/>
      <c r="E32" s="60"/>
      <c r="F32" s="42">
        <v>64</v>
      </c>
      <c r="G32" s="60"/>
      <c r="H32" s="22"/>
    </row>
    <row r="33" spans="1:8" ht="15.75">
      <c r="A33" s="22"/>
      <c r="B33" s="60"/>
      <c r="C33" s="60"/>
      <c r="D33" s="60"/>
      <c r="E33" s="60"/>
      <c r="F33" s="61"/>
      <c r="G33" s="61"/>
      <c r="H33" s="22"/>
    </row>
    <row r="34" spans="1:8" ht="15.75">
      <c r="A34" s="22"/>
      <c r="B34" s="60"/>
      <c r="C34" s="60"/>
      <c r="D34" s="60"/>
      <c r="E34" s="60"/>
      <c r="F34" s="61"/>
      <c r="G34" s="60"/>
      <c r="H34" s="22"/>
    </row>
    <row r="36" spans="1:9" ht="15.75">
      <c r="A36" s="29" t="s">
        <v>279</v>
      </c>
      <c r="B36" s="29"/>
      <c r="C36" s="29"/>
      <c r="D36" s="22"/>
      <c r="E36" s="22"/>
      <c r="F36" s="56" t="s">
        <v>280</v>
      </c>
      <c r="G36" s="56"/>
      <c r="H36" s="56"/>
      <c r="I36" s="54"/>
    </row>
    <row r="37" spans="1:9" ht="15.75">
      <c r="A37" s="36" t="s">
        <v>170</v>
      </c>
      <c r="B37" s="70"/>
      <c r="C37" s="64">
        <f>'Addtions Worksheet'!D140</f>
        <v>14445.060000000003</v>
      </c>
      <c r="D37" s="18"/>
      <c r="F37" s="36" t="s">
        <v>183</v>
      </c>
      <c r="G37" s="36"/>
      <c r="H37" s="36"/>
      <c r="I37" s="64">
        <f>'National Estimator'!I144</f>
        <v>17416.9678</v>
      </c>
    </row>
    <row r="38" spans="1:9" ht="15.75">
      <c r="A38" s="35" t="s">
        <v>184</v>
      </c>
      <c r="B38" s="35"/>
      <c r="C38" s="65">
        <f>'Addtions Worksheet'!I142</f>
        <v>13380.76</v>
      </c>
      <c r="D38" s="18"/>
      <c r="F38" s="35" t="s">
        <v>184</v>
      </c>
      <c r="G38" s="35"/>
      <c r="H38" s="35"/>
      <c r="I38" s="65">
        <f>'National Estimator'!I145</f>
        <v>11939.696000000002</v>
      </c>
    </row>
    <row r="39" spans="1:9" ht="15.75">
      <c r="A39" s="71" t="s">
        <v>287</v>
      </c>
      <c r="B39" s="71"/>
      <c r="C39" s="72">
        <f>C37+C38</f>
        <v>27825.820000000003</v>
      </c>
      <c r="D39" s="10"/>
      <c r="F39" s="44" t="s">
        <v>276</v>
      </c>
      <c r="G39" s="44"/>
      <c r="H39" s="44"/>
      <c r="I39" s="66">
        <f>I37+I38</f>
        <v>29356.663800000002</v>
      </c>
    </row>
    <row r="40" spans="1:9" ht="15.75">
      <c r="A40" s="57" t="s">
        <v>288</v>
      </c>
      <c r="B40" s="57"/>
      <c r="C40" s="73">
        <f>C37*0.2</f>
        <v>2889.0120000000006</v>
      </c>
      <c r="D40" s="10"/>
      <c r="F40" s="22" t="s">
        <v>278</v>
      </c>
      <c r="G40" s="22"/>
      <c r="H40" s="22"/>
      <c r="I40" s="67">
        <f>I39*0.15</f>
        <v>4403.49957</v>
      </c>
    </row>
    <row r="41" spans="1:9" ht="15.75">
      <c r="A41" s="22" t="s">
        <v>289</v>
      </c>
      <c r="B41" s="22"/>
      <c r="C41" s="67">
        <f>C39*0.05</f>
        <v>1391.2910000000002</v>
      </c>
      <c r="F41" s="22" t="s">
        <v>277</v>
      </c>
      <c r="G41" s="22"/>
      <c r="H41" s="22"/>
      <c r="I41" s="67">
        <f>I39*0.1</f>
        <v>2935.6663800000006</v>
      </c>
    </row>
    <row r="42" spans="1:9" ht="15.75">
      <c r="A42" s="29" t="s">
        <v>77</v>
      </c>
      <c r="B42" s="29"/>
      <c r="C42" s="74">
        <f>C39+C40+C41</f>
        <v>32106.123000000003</v>
      </c>
      <c r="F42" s="56" t="s">
        <v>77</v>
      </c>
      <c r="G42" s="56"/>
      <c r="H42" s="56"/>
      <c r="I42" s="68">
        <f>I39+I40+I41</f>
        <v>36695.829750000004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"/>
  <sheetViews>
    <sheetView workbookViewId="0" topLeftCell="A128">
      <selection activeCell="D144" sqref="D144"/>
    </sheetView>
  </sheetViews>
  <sheetFormatPr defaultColWidth="9.140625" defaultRowHeight="12.75"/>
  <cols>
    <col min="1" max="1" width="25.7109375" style="0" customWidth="1"/>
    <col min="2" max="2" width="12.7109375" style="0" customWidth="1"/>
    <col min="4" max="4" width="14.7109375" style="0" customWidth="1"/>
    <col min="5" max="5" width="5.7109375" style="0" customWidth="1"/>
    <col min="6" max="6" width="20.7109375" style="0" customWidth="1"/>
    <col min="8" max="8" width="10.28125" style="0" bestFit="1" customWidth="1"/>
    <col min="9" max="9" width="16.7109375" style="0" customWidth="1"/>
    <col min="11" max="11" width="20.7109375" style="0" customWidth="1"/>
    <col min="16" max="16" width="15.7109375" style="0" customWidth="1"/>
    <col min="19" max="19" width="10.28125" style="0" bestFit="1" customWidth="1"/>
  </cols>
  <sheetData>
    <row r="1" spans="1:3" ht="18">
      <c r="A1" s="89" t="str">
        <f>Data!A6</f>
        <v>Joe Breaktime</v>
      </c>
      <c r="B1" s="89" t="s">
        <v>343</v>
      </c>
      <c r="C1" s="4"/>
    </row>
    <row r="2" spans="1:19" ht="15.75">
      <c r="A2" s="29" t="s">
        <v>74</v>
      </c>
      <c r="B2" s="29" t="s">
        <v>75</v>
      </c>
      <c r="C2" s="29" t="s">
        <v>76</v>
      </c>
      <c r="D2" s="29" t="s">
        <v>77</v>
      </c>
      <c r="E2" s="29"/>
      <c r="F2" s="29" t="s">
        <v>258</v>
      </c>
      <c r="G2" s="29" t="s">
        <v>79</v>
      </c>
      <c r="H2" s="29" t="s">
        <v>80</v>
      </c>
      <c r="I2" s="29" t="s">
        <v>77</v>
      </c>
      <c r="K2" s="9"/>
      <c r="L2" s="17"/>
      <c r="M2" s="17"/>
      <c r="N2" s="9"/>
      <c r="O2" s="9"/>
      <c r="P2" s="17"/>
      <c r="Q2" s="9"/>
      <c r="R2" s="9"/>
      <c r="S2" s="9"/>
    </row>
    <row r="3" spans="1:19" ht="15.75">
      <c r="A3" s="57"/>
      <c r="B3" s="57"/>
      <c r="C3" s="22"/>
      <c r="D3" s="22"/>
      <c r="E3" s="22"/>
      <c r="F3" s="22" t="s">
        <v>227</v>
      </c>
      <c r="G3" s="22">
        <v>1</v>
      </c>
      <c r="H3" s="116">
        <v>82</v>
      </c>
      <c r="I3" s="53">
        <f aca="true" t="shared" si="0" ref="I3:I8">G3*H3</f>
        <v>82</v>
      </c>
      <c r="K3" s="9"/>
      <c r="L3" s="17"/>
      <c r="M3" s="17"/>
      <c r="N3" s="9"/>
      <c r="O3" s="9"/>
      <c r="P3" s="17"/>
      <c r="Q3" s="9"/>
      <c r="R3" s="9"/>
      <c r="S3" s="9"/>
    </row>
    <row r="4" spans="1:19" ht="15.75">
      <c r="A4" s="22"/>
      <c r="B4" s="22"/>
      <c r="C4" s="22"/>
      <c r="D4" s="22"/>
      <c r="E4" s="22"/>
      <c r="F4" s="22" t="s">
        <v>228</v>
      </c>
      <c r="G4" s="22">
        <v>0.5</v>
      </c>
      <c r="H4" s="116">
        <v>82</v>
      </c>
      <c r="I4" s="53">
        <f t="shared" si="0"/>
        <v>41</v>
      </c>
      <c r="K4" s="9"/>
      <c r="L4" s="17"/>
      <c r="M4" s="17"/>
      <c r="N4" s="9"/>
      <c r="O4" s="9"/>
      <c r="P4" s="17"/>
      <c r="Q4" s="9"/>
      <c r="R4" s="9"/>
      <c r="S4" s="9"/>
    </row>
    <row r="5" spans="1:19" ht="15.75">
      <c r="A5" s="28" t="s">
        <v>243</v>
      </c>
      <c r="B5" s="28"/>
      <c r="C5" s="75"/>
      <c r="D5" s="28"/>
      <c r="E5" s="28"/>
      <c r="F5" s="28" t="s">
        <v>243</v>
      </c>
      <c r="G5" s="28"/>
      <c r="H5" s="23"/>
      <c r="I5" s="23"/>
      <c r="K5" s="9"/>
      <c r="L5" s="17"/>
      <c r="M5" s="17"/>
      <c r="N5" s="9"/>
      <c r="O5" s="9"/>
      <c r="P5" s="17"/>
      <c r="Q5" s="9"/>
      <c r="R5" s="9"/>
      <c r="S5" s="9"/>
    </row>
    <row r="6" spans="1:19" ht="12.75" customHeight="1">
      <c r="A6" s="51" t="s">
        <v>308</v>
      </c>
      <c r="B6" s="75">
        <v>5</v>
      </c>
      <c r="C6" s="76">
        <f>Data!F13</f>
        <v>80</v>
      </c>
      <c r="D6" s="77">
        <f>B6*C6</f>
        <v>400</v>
      </c>
      <c r="E6" s="22"/>
      <c r="F6" s="1"/>
      <c r="H6" s="2">
        <v>82</v>
      </c>
      <c r="I6" s="53">
        <f t="shared" si="0"/>
        <v>0</v>
      </c>
      <c r="K6" s="9"/>
      <c r="L6" s="17"/>
      <c r="M6" s="17"/>
      <c r="N6" s="9"/>
      <c r="O6" s="9"/>
      <c r="P6" s="17"/>
      <c r="Q6" s="9"/>
      <c r="R6" s="9"/>
      <c r="S6" s="9"/>
    </row>
    <row r="7" spans="1:19" ht="12.75">
      <c r="A7" s="23" t="s">
        <v>69</v>
      </c>
      <c r="B7" s="24">
        <v>4</v>
      </c>
      <c r="C7" s="5">
        <f>Data!F13</f>
        <v>80</v>
      </c>
      <c r="D7" s="6">
        <f>B7*C7</f>
        <v>320</v>
      </c>
      <c r="F7" s="1" t="s">
        <v>309</v>
      </c>
      <c r="G7">
        <v>4</v>
      </c>
      <c r="H7" s="2">
        <v>82</v>
      </c>
      <c r="I7" s="53">
        <f t="shared" si="0"/>
        <v>328</v>
      </c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23" t="s">
        <v>1</v>
      </c>
      <c r="B8" s="24">
        <v>30</v>
      </c>
      <c r="D8" s="6">
        <f aca="true" t="shared" si="1" ref="D8:D113">B8*C8</f>
        <v>0</v>
      </c>
      <c r="F8" s="1" t="s">
        <v>310</v>
      </c>
      <c r="G8">
        <v>4</v>
      </c>
      <c r="H8" s="2">
        <v>82</v>
      </c>
      <c r="I8" s="53">
        <f t="shared" si="0"/>
        <v>328</v>
      </c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23" t="s">
        <v>291</v>
      </c>
      <c r="B9" s="24">
        <v>0.31</v>
      </c>
      <c r="C9" s="5">
        <f>Data!F13*2</f>
        <v>160</v>
      </c>
      <c r="D9" s="6">
        <f t="shared" si="1"/>
        <v>49.6</v>
      </c>
      <c r="F9" s="1"/>
      <c r="H9" s="2">
        <v>82</v>
      </c>
      <c r="I9" s="6">
        <f aca="true" t="shared" si="2" ref="I9:I113">G9*H9</f>
        <v>0</v>
      </c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23" t="s">
        <v>232</v>
      </c>
      <c r="B10" s="24">
        <v>0.28</v>
      </c>
      <c r="C10" s="5">
        <f>Data!F13</f>
        <v>80</v>
      </c>
      <c r="D10" s="6">
        <f t="shared" si="1"/>
        <v>22.400000000000002</v>
      </c>
      <c r="F10" s="1"/>
      <c r="H10" s="2">
        <v>82</v>
      </c>
      <c r="I10" s="6">
        <f t="shared" si="2"/>
        <v>0</v>
      </c>
      <c r="K10" s="9"/>
      <c r="L10" s="9"/>
      <c r="M10" s="9"/>
      <c r="N10" s="9"/>
      <c r="O10" s="9"/>
      <c r="P10" s="9"/>
      <c r="Q10" s="9"/>
      <c r="R10" s="9"/>
      <c r="S10" s="9"/>
    </row>
    <row r="11" spans="1:19" ht="12.75">
      <c r="A11" s="23" t="s">
        <v>2</v>
      </c>
      <c r="B11" s="24">
        <v>3.21</v>
      </c>
      <c r="C11" s="5">
        <f>Data!F9</f>
        <v>360</v>
      </c>
      <c r="D11" s="6">
        <f t="shared" si="1"/>
        <v>1155.6</v>
      </c>
      <c r="F11" s="1" t="s">
        <v>311</v>
      </c>
      <c r="G11">
        <v>4</v>
      </c>
      <c r="H11" s="2">
        <v>82</v>
      </c>
      <c r="I11" s="6">
        <f t="shared" si="2"/>
        <v>328</v>
      </c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s="23" t="s">
        <v>231</v>
      </c>
      <c r="B12" s="24">
        <v>1.95</v>
      </c>
      <c r="C12" s="5">
        <f>Data!F9</f>
        <v>360</v>
      </c>
      <c r="D12" s="6">
        <f t="shared" si="1"/>
        <v>702</v>
      </c>
      <c r="F12" s="1" t="s">
        <v>312</v>
      </c>
      <c r="G12">
        <v>4</v>
      </c>
      <c r="H12" s="2">
        <v>82</v>
      </c>
      <c r="I12" s="6">
        <f t="shared" si="2"/>
        <v>328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23" t="s">
        <v>233</v>
      </c>
      <c r="B13" s="24">
        <v>33</v>
      </c>
      <c r="C13" s="5">
        <f>ROUNDUP(Data!F13/16,0)</f>
        <v>5</v>
      </c>
      <c r="D13" s="6">
        <f t="shared" si="1"/>
        <v>165</v>
      </c>
      <c r="F13" s="1" t="s">
        <v>313</v>
      </c>
      <c r="G13">
        <v>1</v>
      </c>
      <c r="H13" s="2">
        <v>82</v>
      </c>
      <c r="I13" s="6">
        <f t="shared" si="2"/>
        <v>82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23" t="s">
        <v>3</v>
      </c>
      <c r="B14" s="24">
        <v>5.49</v>
      </c>
      <c r="C14" s="5">
        <f>C13</f>
        <v>5</v>
      </c>
      <c r="D14" s="6">
        <f t="shared" si="1"/>
        <v>27.450000000000003</v>
      </c>
      <c r="F14" s="1"/>
      <c r="H14" s="2">
        <v>82</v>
      </c>
      <c r="I14" s="6">
        <f t="shared" si="2"/>
        <v>0</v>
      </c>
      <c r="K14" s="9"/>
      <c r="L14" s="9"/>
      <c r="M14" s="9"/>
      <c r="N14" s="9"/>
      <c r="O14" s="9"/>
      <c r="P14" s="17"/>
      <c r="Q14" s="17"/>
      <c r="R14" s="9"/>
      <c r="S14" s="9"/>
    </row>
    <row r="15" spans="1:19" ht="15.75">
      <c r="A15" s="27" t="s">
        <v>244</v>
      </c>
      <c r="B15" s="26"/>
      <c r="C15" s="25"/>
      <c r="D15" s="26"/>
      <c r="E15" s="25"/>
      <c r="F15" s="27" t="s">
        <v>244</v>
      </c>
      <c r="G15" s="26"/>
      <c r="H15" s="25"/>
      <c r="I15" s="26"/>
      <c r="K15" s="9"/>
      <c r="L15" s="9"/>
      <c r="M15" s="9"/>
      <c r="N15" s="9"/>
      <c r="O15" s="9"/>
      <c r="P15" s="17"/>
      <c r="Q15" s="17"/>
      <c r="R15" s="9"/>
      <c r="S15" s="9"/>
    </row>
    <row r="16" spans="1:19" ht="12.75">
      <c r="A16" s="25" t="s">
        <v>4</v>
      </c>
      <c r="B16" s="26">
        <v>1.49</v>
      </c>
      <c r="C16" s="5">
        <f>ROUNDUP(Data!F13/3,0)</f>
        <v>27</v>
      </c>
      <c r="D16" s="6">
        <f t="shared" si="1"/>
        <v>40.23</v>
      </c>
      <c r="F16" s="1"/>
      <c r="H16" s="2">
        <v>82</v>
      </c>
      <c r="I16" s="6">
        <f t="shared" si="2"/>
        <v>0</v>
      </c>
      <c r="K16" s="9"/>
      <c r="L16" s="9"/>
      <c r="M16" s="9"/>
      <c r="N16" s="9"/>
      <c r="O16" s="9"/>
      <c r="P16" s="17"/>
      <c r="Q16" s="17"/>
      <c r="R16" s="9"/>
      <c r="S16" s="9"/>
    </row>
    <row r="17" spans="1:19" ht="12.75">
      <c r="A17" s="25" t="s">
        <v>5</v>
      </c>
      <c r="B17" s="26">
        <v>9</v>
      </c>
      <c r="C17" s="5">
        <f>ROUNDUP(Data!F13/50,0)</f>
        <v>2</v>
      </c>
      <c r="D17" s="6">
        <f t="shared" si="1"/>
        <v>18</v>
      </c>
      <c r="F17" s="1"/>
      <c r="H17" s="2">
        <v>82</v>
      </c>
      <c r="I17" s="6">
        <f t="shared" si="2"/>
        <v>0</v>
      </c>
      <c r="K17" s="9"/>
      <c r="L17" s="9"/>
      <c r="M17" s="9"/>
      <c r="N17" s="9"/>
      <c r="O17" s="9"/>
      <c r="P17" s="17"/>
      <c r="Q17" s="17"/>
      <c r="R17" s="9"/>
      <c r="S17" s="9"/>
    </row>
    <row r="18" spans="1:19" ht="12.75">
      <c r="A18" s="25" t="s">
        <v>234</v>
      </c>
      <c r="B18" s="26">
        <v>0.96</v>
      </c>
      <c r="C18" s="5">
        <f>Data!F13</f>
        <v>80</v>
      </c>
      <c r="D18" s="6">
        <f t="shared" si="1"/>
        <v>76.8</v>
      </c>
      <c r="F18" s="1" t="s">
        <v>314</v>
      </c>
      <c r="G18">
        <v>2</v>
      </c>
      <c r="H18" s="2">
        <v>82</v>
      </c>
      <c r="I18" s="6">
        <f t="shared" si="2"/>
        <v>164</v>
      </c>
      <c r="K18" s="9"/>
      <c r="L18" s="9"/>
      <c r="M18" s="9"/>
      <c r="N18" s="9"/>
      <c r="O18" s="9"/>
      <c r="P18" s="17"/>
      <c r="Q18" s="17"/>
      <c r="R18" s="9"/>
      <c r="S18" s="9"/>
    </row>
    <row r="19" spans="1:19" ht="12.75">
      <c r="A19" s="25" t="s">
        <v>6</v>
      </c>
      <c r="B19" s="26">
        <v>0.93</v>
      </c>
      <c r="C19" s="5">
        <f>IF(Data!B12=1,(Data!B11*0.75)*Data!C11,(0))</f>
        <v>0</v>
      </c>
      <c r="D19" s="6">
        <f t="shared" si="1"/>
        <v>0</v>
      </c>
      <c r="F19" s="1"/>
      <c r="H19" s="2">
        <v>82</v>
      </c>
      <c r="I19" s="6">
        <f t="shared" si="2"/>
        <v>0</v>
      </c>
      <c r="K19" s="17"/>
      <c r="L19" s="9"/>
      <c r="M19" s="9"/>
      <c r="N19" s="9"/>
      <c r="O19" s="9"/>
      <c r="P19" s="9"/>
      <c r="Q19" s="9"/>
      <c r="R19" s="9"/>
      <c r="S19" s="9"/>
    </row>
    <row r="20" spans="1:19" ht="12.75">
      <c r="A20" s="25" t="s">
        <v>225</v>
      </c>
      <c r="B20" s="26">
        <v>0.93</v>
      </c>
      <c r="C20" s="5">
        <f>Data!B16*4</f>
        <v>80</v>
      </c>
      <c r="D20" s="6">
        <f t="shared" si="1"/>
        <v>74.4</v>
      </c>
      <c r="F20" s="1" t="s">
        <v>315</v>
      </c>
      <c r="G20">
        <v>2</v>
      </c>
      <c r="H20" s="2">
        <v>82</v>
      </c>
      <c r="I20" s="6">
        <f t="shared" si="2"/>
        <v>164</v>
      </c>
      <c r="K20" s="17"/>
      <c r="L20" s="9"/>
      <c r="M20" s="9"/>
      <c r="N20" s="9"/>
      <c r="O20" s="9"/>
      <c r="P20" s="9"/>
      <c r="Q20" s="9"/>
      <c r="R20" s="9"/>
      <c r="S20" s="9"/>
    </row>
    <row r="21" spans="1:19" ht="12.75">
      <c r="A21" s="25" t="s">
        <v>230</v>
      </c>
      <c r="B21" s="26">
        <v>2</v>
      </c>
      <c r="C21" s="5">
        <f>Data!B16/2</f>
        <v>10</v>
      </c>
      <c r="D21" s="6">
        <f t="shared" si="1"/>
        <v>20</v>
      </c>
      <c r="F21" s="1" t="s">
        <v>316</v>
      </c>
      <c r="G21">
        <v>4</v>
      </c>
      <c r="H21" s="2">
        <v>82</v>
      </c>
      <c r="I21" s="6">
        <f t="shared" si="2"/>
        <v>328</v>
      </c>
      <c r="K21" s="17"/>
      <c r="L21" s="9"/>
      <c r="M21" s="9"/>
      <c r="N21" s="9"/>
      <c r="O21" s="9"/>
      <c r="P21" s="9"/>
      <c r="Q21" s="9"/>
      <c r="R21" s="9"/>
      <c r="S21" s="9"/>
    </row>
    <row r="22" spans="1:19" ht="12.75">
      <c r="A22" s="25" t="s">
        <v>235</v>
      </c>
      <c r="B22" s="26">
        <v>1.76</v>
      </c>
      <c r="C22" s="5">
        <f>IF(Data!B12=0,(Data!B11*0.75)*Data!C11,(0))</f>
        <v>480</v>
      </c>
      <c r="D22" s="6">
        <f t="shared" si="1"/>
        <v>844.8</v>
      </c>
      <c r="F22" s="1"/>
      <c r="H22" s="2">
        <v>82</v>
      </c>
      <c r="I22" s="6">
        <f t="shared" si="2"/>
        <v>0</v>
      </c>
      <c r="K22" s="9"/>
      <c r="L22" s="9"/>
      <c r="M22" s="9"/>
      <c r="N22" s="17"/>
      <c r="O22" s="17"/>
      <c r="P22" s="9"/>
      <c r="Q22" s="9"/>
      <c r="R22" s="9"/>
      <c r="S22" s="9"/>
    </row>
    <row r="23" spans="1:19" ht="12.75">
      <c r="A23" s="25" t="s">
        <v>317</v>
      </c>
      <c r="B23" s="26"/>
      <c r="C23" s="5"/>
      <c r="D23" s="6">
        <f t="shared" si="1"/>
        <v>0</v>
      </c>
      <c r="F23" s="1" t="s">
        <v>318</v>
      </c>
      <c r="G23">
        <v>4</v>
      </c>
      <c r="H23" s="2">
        <v>82</v>
      </c>
      <c r="I23" s="6">
        <f t="shared" si="2"/>
        <v>328</v>
      </c>
      <c r="K23" s="9"/>
      <c r="L23" s="9"/>
      <c r="M23" s="9"/>
      <c r="N23" s="17"/>
      <c r="O23" s="17"/>
      <c r="P23" s="9"/>
      <c r="Q23" s="9"/>
      <c r="R23" s="9"/>
      <c r="S23" s="9"/>
    </row>
    <row r="24" spans="1:19" ht="12.75">
      <c r="A24" s="25" t="s">
        <v>7</v>
      </c>
      <c r="B24" s="26">
        <v>1.76</v>
      </c>
      <c r="C24" s="5">
        <f>Data!F13</f>
        <v>80</v>
      </c>
      <c r="D24" s="6">
        <f t="shared" si="1"/>
        <v>140.8</v>
      </c>
      <c r="F24" s="1"/>
      <c r="H24" s="2">
        <v>82</v>
      </c>
      <c r="I24" s="6">
        <f t="shared" si="2"/>
        <v>0</v>
      </c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25" t="s">
        <v>70</v>
      </c>
      <c r="B25" s="26">
        <v>0.42</v>
      </c>
      <c r="C25" s="5">
        <f>Data!F13</f>
        <v>80</v>
      </c>
      <c r="D25" s="6">
        <f t="shared" si="1"/>
        <v>33.6</v>
      </c>
      <c r="F25" s="1" t="s">
        <v>319</v>
      </c>
      <c r="G25">
        <v>2</v>
      </c>
      <c r="H25" s="2">
        <v>82</v>
      </c>
      <c r="I25" s="6">
        <f t="shared" si="2"/>
        <v>164</v>
      </c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25" t="s">
        <v>292</v>
      </c>
      <c r="B26" s="26">
        <v>29.05</v>
      </c>
      <c r="C26" s="5">
        <f>ROUNDUP(Data!F11*1.075/32,0)</f>
        <v>22</v>
      </c>
      <c r="D26" s="6">
        <f t="shared" si="1"/>
        <v>639.1</v>
      </c>
      <c r="F26" s="1"/>
      <c r="H26" s="2">
        <v>82</v>
      </c>
      <c r="I26" s="6">
        <f t="shared" si="2"/>
        <v>0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25" t="s">
        <v>236</v>
      </c>
      <c r="B27" s="26">
        <v>13.29</v>
      </c>
      <c r="C27" s="9"/>
      <c r="D27" s="6">
        <f t="shared" si="1"/>
        <v>0</v>
      </c>
      <c r="F27" s="1" t="s">
        <v>320</v>
      </c>
      <c r="G27">
        <v>4</v>
      </c>
      <c r="H27" s="2">
        <v>82</v>
      </c>
      <c r="I27" s="6">
        <f t="shared" si="2"/>
        <v>328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25" t="s">
        <v>71</v>
      </c>
      <c r="B28" s="26">
        <v>4.8</v>
      </c>
      <c r="C28" s="5">
        <f>C26/2</f>
        <v>11</v>
      </c>
      <c r="D28" s="6">
        <f t="shared" si="1"/>
        <v>52.8</v>
      </c>
      <c r="F28" s="1"/>
      <c r="H28" s="2">
        <v>82</v>
      </c>
      <c r="I28" s="6">
        <f t="shared" si="2"/>
        <v>0</v>
      </c>
      <c r="K28" s="9"/>
      <c r="L28" s="9"/>
      <c r="M28" s="9"/>
      <c r="N28" s="9"/>
      <c r="O28" s="9"/>
      <c r="P28" s="9"/>
      <c r="Q28" s="9"/>
      <c r="R28" s="9"/>
      <c r="S28" s="9"/>
    </row>
    <row r="29" spans="1:19" ht="15.75">
      <c r="A29" s="29" t="s">
        <v>245</v>
      </c>
      <c r="B29" s="30"/>
      <c r="C29" s="31" t="s">
        <v>285</v>
      </c>
      <c r="D29" s="30"/>
      <c r="E29" s="31"/>
      <c r="F29" s="29" t="s">
        <v>245</v>
      </c>
      <c r="G29" s="30"/>
      <c r="H29" s="84"/>
      <c r="I29" s="85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31" t="s">
        <v>9</v>
      </c>
      <c r="B30" s="30">
        <v>2.5</v>
      </c>
      <c r="C30" s="5">
        <f>Data!F18</f>
        <v>40</v>
      </c>
      <c r="D30" s="6">
        <f t="shared" si="1"/>
        <v>100</v>
      </c>
      <c r="F30" s="1" t="s">
        <v>321</v>
      </c>
      <c r="G30">
        <v>2</v>
      </c>
      <c r="H30" s="2">
        <v>82</v>
      </c>
      <c r="I30" s="6">
        <f t="shared" si="2"/>
        <v>164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31" t="s">
        <v>10</v>
      </c>
      <c r="B31" s="30">
        <v>2.81</v>
      </c>
      <c r="D31" s="6">
        <f t="shared" si="1"/>
        <v>0</v>
      </c>
      <c r="F31" s="1"/>
      <c r="H31" s="2">
        <v>82</v>
      </c>
      <c r="I31" s="6">
        <f t="shared" si="2"/>
        <v>0</v>
      </c>
      <c r="K31" s="17"/>
      <c r="L31" s="18"/>
      <c r="M31" s="9"/>
      <c r="N31" s="18"/>
      <c r="O31" s="9"/>
      <c r="P31" s="17"/>
      <c r="Q31" s="9"/>
      <c r="R31" s="9"/>
      <c r="S31" s="9"/>
    </row>
    <row r="32" spans="1:19" ht="12.75">
      <c r="A32" s="31" t="s">
        <v>11</v>
      </c>
      <c r="B32" s="30">
        <v>0.28</v>
      </c>
      <c r="C32" s="5">
        <f>Data!F18*3</f>
        <v>120</v>
      </c>
      <c r="D32" s="6">
        <f t="shared" si="1"/>
        <v>33.6</v>
      </c>
      <c r="F32" s="1" t="s">
        <v>322</v>
      </c>
      <c r="G32">
        <v>2</v>
      </c>
      <c r="H32" s="2">
        <v>82</v>
      </c>
      <c r="I32" s="6">
        <f t="shared" si="2"/>
        <v>164</v>
      </c>
      <c r="K32" s="9"/>
      <c r="L32" s="18"/>
      <c r="M32" s="9"/>
      <c r="N32" s="18"/>
      <c r="O32" s="9"/>
      <c r="P32" s="9"/>
      <c r="Q32" s="9"/>
      <c r="R32" s="18"/>
      <c r="S32" s="18"/>
    </row>
    <row r="33" spans="1:19" ht="12.75">
      <c r="A33" s="31" t="s">
        <v>12</v>
      </c>
      <c r="B33" s="30">
        <v>4.16</v>
      </c>
      <c r="C33" s="5">
        <f>Data!F13</f>
        <v>80</v>
      </c>
      <c r="D33" s="6">
        <f t="shared" si="1"/>
        <v>332.8</v>
      </c>
      <c r="F33" s="1"/>
      <c r="H33" s="2">
        <v>82</v>
      </c>
      <c r="I33" s="6">
        <f t="shared" si="2"/>
        <v>0</v>
      </c>
      <c r="K33" s="9"/>
      <c r="L33" s="18"/>
      <c r="M33" s="9"/>
      <c r="N33" s="18"/>
      <c r="O33" s="9"/>
      <c r="P33" s="9"/>
      <c r="Q33" s="9"/>
      <c r="R33" s="18"/>
      <c r="S33" s="18"/>
    </row>
    <row r="34" spans="1:19" ht="12.75">
      <c r="A34" s="31" t="s">
        <v>13</v>
      </c>
      <c r="B34" s="30">
        <v>5.08</v>
      </c>
      <c r="D34" s="6">
        <f t="shared" si="1"/>
        <v>0</v>
      </c>
      <c r="F34" s="1" t="s">
        <v>323</v>
      </c>
      <c r="H34" s="2">
        <v>82</v>
      </c>
      <c r="I34" s="6">
        <f t="shared" si="2"/>
        <v>0</v>
      </c>
      <c r="K34" s="9"/>
      <c r="L34" s="18"/>
      <c r="M34" s="9"/>
      <c r="N34" s="18"/>
      <c r="O34" s="9"/>
      <c r="P34" s="9"/>
      <c r="Q34" s="9"/>
      <c r="R34" s="18"/>
      <c r="S34" s="18"/>
    </row>
    <row r="35" spans="1:19" ht="12.75">
      <c r="A35" s="31" t="s">
        <v>14</v>
      </c>
      <c r="B35" s="30">
        <v>0.47</v>
      </c>
      <c r="C35" s="5">
        <f>ROUNDUP(Data!F13*1.1*3,0)</f>
        <v>264</v>
      </c>
      <c r="D35" s="6">
        <f t="shared" si="1"/>
        <v>124.08</v>
      </c>
      <c r="F35" s="1"/>
      <c r="G35">
        <v>4</v>
      </c>
      <c r="H35" s="2">
        <v>82</v>
      </c>
      <c r="I35" s="6">
        <f t="shared" si="2"/>
        <v>328</v>
      </c>
      <c r="K35" s="9"/>
      <c r="L35" s="18"/>
      <c r="M35" s="9"/>
      <c r="N35" s="18"/>
      <c r="O35" s="9"/>
      <c r="P35" s="9"/>
      <c r="Q35" s="9"/>
      <c r="R35" s="18"/>
      <c r="S35" s="18"/>
    </row>
    <row r="36" spans="1:19" ht="12.75">
      <c r="A36" s="31" t="s">
        <v>15</v>
      </c>
      <c r="B36" s="30">
        <v>0.47</v>
      </c>
      <c r="D36" s="6">
        <f t="shared" si="1"/>
        <v>0</v>
      </c>
      <c r="F36" s="1" t="s">
        <v>324</v>
      </c>
      <c r="G36">
        <v>2</v>
      </c>
      <c r="H36" s="2">
        <v>82</v>
      </c>
      <c r="I36" s="6">
        <f t="shared" si="2"/>
        <v>164</v>
      </c>
      <c r="K36" s="17"/>
      <c r="L36" s="18"/>
      <c r="M36" s="9"/>
      <c r="N36" s="18"/>
      <c r="O36" s="9"/>
      <c r="P36" s="9"/>
      <c r="Q36" s="9"/>
      <c r="R36" s="18"/>
      <c r="S36" s="18"/>
    </row>
    <row r="37" spans="1:19" ht="12.75">
      <c r="A37" s="31" t="s">
        <v>16</v>
      </c>
      <c r="B37" s="30">
        <v>4.68</v>
      </c>
      <c r="D37" s="6">
        <f t="shared" si="1"/>
        <v>0</v>
      </c>
      <c r="F37" s="1"/>
      <c r="H37" s="2">
        <v>82</v>
      </c>
      <c r="I37" s="6">
        <f t="shared" si="2"/>
        <v>0</v>
      </c>
      <c r="K37" s="17"/>
      <c r="L37" s="18"/>
      <c r="M37" s="9"/>
      <c r="N37" s="18"/>
      <c r="O37" s="9"/>
      <c r="P37" s="9"/>
      <c r="Q37" s="9"/>
      <c r="R37" s="18"/>
      <c r="S37" s="18"/>
    </row>
    <row r="38" spans="1:19" ht="12.75">
      <c r="A38" s="31" t="s">
        <v>17</v>
      </c>
      <c r="B38" s="30">
        <v>10.53</v>
      </c>
      <c r="C38" s="5">
        <f>ROUNDUP(Data!F31*1.075/32,0)</f>
        <v>28</v>
      </c>
      <c r="D38" s="6">
        <f t="shared" si="1"/>
        <v>294.84</v>
      </c>
      <c r="F38" s="1" t="s">
        <v>325</v>
      </c>
      <c r="G38">
        <v>4</v>
      </c>
      <c r="H38" s="2">
        <v>82</v>
      </c>
      <c r="I38" s="6">
        <f t="shared" si="2"/>
        <v>328</v>
      </c>
      <c r="K38" s="9"/>
      <c r="L38" s="18"/>
      <c r="M38" s="9"/>
      <c r="N38" s="18"/>
      <c r="O38" s="9"/>
      <c r="P38" s="9"/>
      <c r="Q38" s="9"/>
      <c r="R38" s="18"/>
      <c r="S38" s="18"/>
    </row>
    <row r="39" spans="1:19" ht="12.75">
      <c r="A39" s="31" t="s">
        <v>188</v>
      </c>
      <c r="B39" s="30">
        <v>13.03</v>
      </c>
      <c r="C39" s="9"/>
      <c r="D39" s="6">
        <f t="shared" si="1"/>
        <v>0</v>
      </c>
      <c r="F39" s="1"/>
      <c r="H39" s="2">
        <v>82</v>
      </c>
      <c r="I39" s="6">
        <f t="shared" si="2"/>
        <v>0</v>
      </c>
      <c r="K39" s="17"/>
      <c r="L39" s="18"/>
      <c r="M39" s="9"/>
      <c r="N39" s="18"/>
      <c r="O39" s="9"/>
      <c r="P39" s="9"/>
      <c r="Q39" s="9"/>
      <c r="R39" s="18"/>
      <c r="S39" s="18"/>
    </row>
    <row r="40" spans="1:19" ht="12.75">
      <c r="A40" s="31" t="s">
        <v>187</v>
      </c>
      <c r="B40" s="30">
        <v>19.85</v>
      </c>
      <c r="C40" s="9"/>
      <c r="D40" s="6">
        <f t="shared" si="1"/>
        <v>0</v>
      </c>
      <c r="F40" s="1"/>
      <c r="H40" s="2">
        <v>82</v>
      </c>
      <c r="I40" s="6">
        <f t="shared" si="2"/>
        <v>0</v>
      </c>
      <c r="K40" s="17"/>
      <c r="L40" s="18"/>
      <c r="M40" s="9"/>
      <c r="N40" s="18"/>
      <c r="O40" s="9"/>
      <c r="P40" s="9"/>
      <c r="Q40" s="9"/>
      <c r="R40" s="18"/>
      <c r="S40" s="18"/>
    </row>
    <row r="41" spans="1:19" ht="12.75">
      <c r="A41" s="31" t="s">
        <v>18</v>
      </c>
      <c r="B41" s="30">
        <v>115.37</v>
      </c>
      <c r="C41" s="5">
        <f>ROUNDUP(Data!F13*0.01,0)</f>
        <v>1</v>
      </c>
      <c r="D41" s="6">
        <f t="shared" si="1"/>
        <v>115.37</v>
      </c>
      <c r="F41" s="1" t="s">
        <v>326</v>
      </c>
      <c r="G41">
        <v>2</v>
      </c>
      <c r="H41" s="2">
        <v>82</v>
      </c>
      <c r="I41" s="6">
        <f t="shared" si="2"/>
        <v>164</v>
      </c>
      <c r="K41" s="9"/>
      <c r="L41" s="18"/>
      <c r="M41" s="9"/>
      <c r="N41" s="18"/>
      <c r="O41" s="9"/>
      <c r="P41" s="17"/>
      <c r="Q41" s="9"/>
      <c r="R41" s="18"/>
      <c r="S41" s="18"/>
    </row>
    <row r="42" spans="1:19" ht="12.75">
      <c r="A42" s="31" t="s">
        <v>246</v>
      </c>
      <c r="B42" s="30">
        <v>15</v>
      </c>
      <c r="C42" s="5">
        <f>C41</f>
        <v>1</v>
      </c>
      <c r="D42" s="6">
        <f t="shared" si="1"/>
        <v>15</v>
      </c>
      <c r="F42" s="1"/>
      <c r="H42" s="2">
        <v>82</v>
      </c>
      <c r="I42" s="6">
        <f t="shared" si="2"/>
        <v>0</v>
      </c>
      <c r="K42" s="9"/>
      <c r="L42" s="18"/>
      <c r="M42" s="9"/>
      <c r="N42" s="18"/>
      <c r="O42" s="9"/>
      <c r="P42" s="17"/>
      <c r="Q42" s="9"/>
      <c r="R42" s="18"/>
      <c r="S42" s="18"/>
    </row>
    <row r="43" spans="1:19" ht="12.75">
      <c r="A43" s="31" t="s">
        <v>19</v>
      </c>
      <c r="B43" s="30">
        <v>4.23</v>
      </c>
      <c r="C43" s="5">
        <f>ROUNDUP(Data!F13/10,0)</f>
        <v>8</v>
      </c>
      <c r="D43" s="6">
        <f t="shared" si="1"/>
        <v>33.84</v>
      </c>
      <c r="F43" s="1" t="s">
        <v>327</v>
      </c>
      <c r="G43">
        <v>1</v>
      </c>
      <c r="H43" s="2">
        <v>82</v>
      </c>
      <c r="I43" s="6">
        <f t="shared" si="2"/>
        <v>82</v>
      </c>
      <c r="K43" s="17"/>
      <c r="L43" s="18"/>
      <c r="M43" s="9"/>
      <c r="N43" s="18"/>
      <c r="O43" s="9"/>
      <c r="P43" s="9"/>
      <c r="Q43" s="9"/>
      <c r="R43" s="18"/>
      <c r="S43" s="18"/>
    </row>
    <row r="44" spans="1:19" ht="15.75">
      <c r="A44" s="32" t="s">
        <v>247</v>
      </c>
      <c r="B44" s="33"/>
      <c r="C44" s="34"/>
      <c r="D44" s="33"/>
      <c r="E44" s="34"/>
      <c r="F44" s="32" t="s">
        <v>247</v>
      </c>
      <c r="G44" s="33"/>
      <c r="H44" s="34"/>
      <c r="I44" s="33"/>
      <c r="K44" s="17"/>
      <c r="L44" s="18"/>
      <c r="M44" s="9"/>
      <c r="N44" s="18"/>
      <c r="O44" s="9"/>
      <c r="P44" s="9"/>
      <c r="Q44" s="9"/>
      <c r="R44" s="18"/>
      <c r="S44" s="18"/>
    </row>
    <row r="45" spans="1:19" ht="12.75">
      <c r="A45" s="34" t="s">
        <v>72</v>
      </c>
      <c r="B45" s="33">
        <v>1</v>
      </c>
      <c r="C45" s="5">
        <f>'Roofing '!D15</f>
        <v>883.88</v>
      </c>
      <c r="D45" s="6">
        <f t="shared" si="1"/>
        <v>883.88</v>
      </c>
      <c r="F45" s="1" t="s">
        <v>328</v>
      </c>
      <c r="G45">
        <v>4</v>
      </c>
      <c r="H45" s="2">
        <v>82</v>
      </c>
      <c r="I45" s="6">
        <f t="shared" si="2"/>
        <v>328</v>
      </c>
      <c r="K45" s="17"/>
      <c r="L45" s="18"/>
      <c r="M45" s="9"/>
      <c r="N45" s="18"/>
      <c r="O45" s="9"/>
      <c r="P45" s="9"/>
      <c r="Q45" s="9"/>
      <c r="R45" s="18"/>
      <c r="S45" s="18"/>
    </row>
    <row r="46" spans="1:19" ht="12.75">
      <c r="A46" s="34" t="s">
        <v>73</v>
      </c>
      <c r="B46" s="33">
        <v>1.25</v>
      </c>
      <c r="D46" s="6">
        <f t="shared" si="1"/>
        <v>0</v>
      </c>
      <c r="F46" s="1"/>
      <c r="H46" s="2">
        <v>82</v>
      </c>
      <c r="I46" s="6">
        <f t="shared" si="2"/>
        <v>0</v>
      </c>
      <c r="K46" s="17"/>
      <c r="L46" s="18"/>
      <c r="M46" s="9"/>
      <c r="N46" s="18"/>
      <c r="O46" s="9"/>
      <c r="P46" s="9"/>
      <c r="Q46" s="9"/>
      <c r="R46" s="18"/>
      <c r="S46" s="18"/>
    </row>
    <row r="47" spans="1:19" ht="12.75">
      <c r="A47" s="34" t="s">
        <v>22</v>
      </c>
      <c r="B47" s="33">
        <v>0.47</v>
      </c>
      <c r="C47" s="5">
        <f>Data!F24+Data!F25</f>
        <v>82</v>
      </c>
      <c r="D47" s="6">
        <f t="shared" si="1"/>
        <v>38.54</v>
      </c>
      <c r="F47" s="1" t="s">
        <v>329</v>
      </c>
      <c r="G47">
        <v>4</v>
      </c>
      <c r="H47" s="2">
        <v>82</v>
      </c>
      <c r="I47" s="6">
        <f t="shared" si="2"/>
        <v>328</v>
      </c>
      <c r="K47" s="17"/>
      <c r="L47" s="18"/>
      <c r="M47" s="9"/>
      <c r="N47" s="18"/>
      <c r="O47" s="9"/>
      <c r="P47" s="9"/>
      <c r="Q47" s="9"/>
      <c r="R47" s="18"/>
      <c r="S47" s="18"/>
    </row>
    <row r="48" spans="1:19" ht="12.75">
      <c r="A48" s="34" t="s">
        <v>21</v>
      </c>
      <c r="B48" s="33">
        <v>0.28</v>
      </c>
      <c r="C48" s="5">
        <f>(Data!F25/2)*4</f>
        <v>76</v>
      </c>
      <c r="D48" s="6">
        <f t="shared" si="1"/>
        <v>21.28</v>
      </c>
      <c r="F48" s="1" t="s">
        <v>330</v>
      </c>
      <c r="G48">
        <v>2</v>
      </c>
      <c r="H48" s="2">
        <v>82</v>
      </c>
      <c r="I48" s="6">
        <f t="shared" si="2"/>
        <v>164</v>
      </c>
      <c r="K48" s="9"/>
      <c r="L48" s="18"/>
      <c r="M48" s="9"/>
      <c r="N48" s="18"/>
      <c r="O48" s="9"/>
      <c r="P48" s="9"/>
      <c r="Q48" s="9"/>
      <c r="R48" s="18"/>
      <c r="S48" s="18"/>
    </row>
    <row r="49" spans="1:19" ht="12.75">
      <c r="A49" s="34" t="s">
        <v>293</v>
      </c>
      <c r="B49" s="33">
        <v>0.47</v>
      </c>
      <c r="C49" s="4">
        <v>100</v>
      </c>
      <c r="D49" s="6">
        <f t="shared" si="1"/>
        <v>47</v>
      </c>
      <c r="F49" s="1" t="s">
        <v>332</v>
      </c>
      <c r="G49">
        <v>2</v>
      </c>
      <c r="H49" s="2">
        <v>82</v>
      </c>
      <c r="I49" s="6">
        <f t="shared" si="2"/>
        <v>164</v>
      </c>
      <c r="K49" s="9"/>
      <c r="L49" s="18"/>
      <c r="M49" s="9"/>
      <c r="N49" s="18"/>
      <c r="O49" s="9"/>
      <c r="P49" s="9"/>
      <c r="Q49" s="9"/>
      <c r="R49" s="18"/>
      <c r="S49" s="18"/>
    </row>
    <row r="50" spans="1:19" ht="12.75">
      <c r="A50" s="34" t="s">
        <v>23</v>
      </c>
      <c r="B50" s="33">
        <v>24.33</v>
      </c>
      <c r="C50" s="5">
        <f>ROUNDUP('Roofing '!D15*1.075/32,0)</f>
        <v>30</v>
      </c>
      <c r="D50" s="6">
        <f t="shared" si="1"/>
        <v>729.9</v>
      </c>
      <c r="F50" s="1" t="s">
        <v>331</v>
      </c>
      <c r="G50">
        <v>4</v>
      </c>
      <c r="H50" s="2">
        <v>82</v>
      </c>
      <c r="I50" s="6">
        <f t="shared" si="2"/>
        <v>328</v>
      </c>
      <c r="K50" s="17"/>
      <c r="L50" s="18"/>
      <c r="M50" s="9"/>
      <c r="N50" s="18"/>
      <c r="O50" s="9"/>
      <c r="P50" s="9"/>
      <c r="Q50" s="9"/>
      <c r="R50" s="18"/>
      <c r="S50" s="18"/>
    </row>
    <row r="51" spans="1:19" ht="12.75">
      <c r="A51" s="34" t="s">
        <v>237</v>
      </c>
      <c r="B51" s="33">
        <v>11.01</v>
      </c>
      <c r="C51" s="9"/>
      <c r="D51" s="6"/>
      <c r="F51" s="1" t="s">
        <v>333</v>
      </c>
      <c r="G51">
        <v>4</v>
      </c>
      <c r="H51" s="2">
        <v>82</v>
      </c>
      <c r="I51" s="6">
        <f t="shared" si="2"/>
        <v>328</v>
      </c>
      <c r="K51" s="17"/>
      <c r="L51" s="18"/>
      <c r="M51" s="9"/>
      <c r="N51" s="18"/>
      <c r="O51" s="9"/>
      <c r="P51" s="9"/>
      <c r="Q51" s="9"/>
      <c r="R51" s="18"/>
      <c r="S51" s="18"/>
    </row>
    <row r="52" spans="1:19" ht="12.75">
      <c r="A52" s="34" t="s">
        <v>238</v>
      </c>
      <c r="B52" s="33">
        <v>0.07</v>
      </c>
      <c r="C52" s="9"/>
      <c r="D52" s="6"/>
      <c r="F52" s="1"/>
      <c r="H52" s="2">
        <v>82</v>
      </c>
      <c r="I52" s="6">
        <f t="shared" si="2"/>
        <v>0</v>
      </c>
      <c r="K52" s="17"/>
      <c r="L52" s="18"/>
      <c r="M52" s="9"/>
      <c r="N52" s="18"/>
      <c r="O52" s="9"/>
      <c r="P52" s="9"/>
      <c r="Q52" s="9"/>
      <c r="R52" s="18"/>
      <c r="S52" s="18"/>
    </row>
    <row r="53" spans="1:19" ht="15.75">
      <c r="A53" s="42" t="s">
        <v>82</v>
      </c>
      <c r="B53" s="82"/>
      <c r="C53" s="83"/>
      <c r="D53" s="43">
        <f>'Roofing '!D71</f>
        <v>1069.82</v>
      </c>
      <c r="E53" s="4"/>
      <c r="F53" s="42" t="s">
        <v>81</v>
      </c>
      <c r="G53" s="4"/>
      <c r="H53" s="4"/>
      <c r="I53" s="43">
        <f>'Roofing '!I73</f>
        <v>590</v>
      </c>
      <c r="J53" s="9"/>
      <c r="K53" s="17"/>
      <c r="L53" s="18"/>
      <c r="M53" s="9"/>
      <c r="N53" s="18"/>
      <c r="O53" s="9"/>
      <c r="P53" s="9"/>
      <c r="Q53" s="9"/>
      <c r="R53" s="18"/>
      <c r="S53" s="18"/>
    </row>
    <row r="54" spans="1:19" ht="15.75">
      <c r="A54" s="50" t="s">
        <v>256</v>
      </c>
      <c r="B54" s="38"/>
      <c r="C54" s="81"/>
      <c r="D54" s="38"/>
      <c r="E54" s="37"/>
      <c r="F54" s="50" t="s">
        <v>256</v>
      </c>
      <c r="G54" s="38"/>
      <c r="H54" s="37"/>
      <c r="I54" s="38"/>
      <c r="K54" s="17"/>
      <c r="L54" s="18"/>
      <c r="M54" s="9"/>
      <c r="N54" s="18"/>
      <c r="O54" s="9"/>
      <c r="P54" s="9"/>
      <c r="Q54" s="9"/>
      <c r="R54" s="18"/>
      <c r="S54" s="18"/>
    </row>
    <row r="55" spans="1:19" ht="12.75">
      <c r="A55" s="37" t="s">
        <v>25</v>
      </c>
      <c r="B55" s="38">
        <v>61.93</v>
      </c>
      <c r="C55" s="9"/>
      <c r="D55" s="6">
        <f t="shared" si="1"/>
        <v>0</v>
      </c>
      <c r="E55" s="9"/>
      <c r="F55" s="17"/>
      <c r="G55" s="9"/>
      <c r="H55" s="2">
        <v>82</v>
      </c>
      <c r="I55" s="6">
        <f t="shared" si="2"/>
        <v>0</v>
      </c>
      <c r="K55" s="9"/>
      <c r="L55" s="18"/>
      <c r="M55" s="9"/>
      <c r="N55" s="18"/>
      <c r="O55" s="9"/>
      <c r="P55" s="17"/>
      <c r="Q55" s="9"/>
      <c r="R55" s="18"/>
      <c r="S55" s="18"/>
    </row>
    <row r="56" spans="1:19" ht="12.75">
      <c r="A56" s="37" t="s">
        <v>239</v>
      </c>
      <c r="B56" s="38">
        <v>11.55</v>
      </c>
      <c r="C56" s="5">
        <f>ROUNDUP(C47/12,0)</f>
        <v>7</v>
      </c>
      <c r="D56" s="6">
        <f t="shared" si="1"/>
        <v>80.85000000000001</v>
      </c>
      <c r="F56" s="17" t="s">
        <v>335</v>
      </c>
      <c r="G56">
        <v>2</v>
      </c>
      <c r="H56" s="2">
        <v>82</v>
      </c>
      <c r="I56" s="6">
        <f t="shared" si="2"/>
        <v>164</v>
      </c>
      <c r="K56" s="9"/>
      <c r="L56" s="18"/>
      <c r="M56" s="9"/>
      <c r="N56" s="18"/>
      <c r="O56" s="9"/>
      <c r="P56" s="9"/>
      <c r="Q56" s="9"/>
      <c r="R56" s="18"/>
      <c r="S56" s="18"/>
    </row>
    <row r="57" spans="1:19" ht="12.75">
      <c r="A57" s="37" t="s">
        <v>26</v>
      </c>
      <c r="B57" s="38">
        <v>1.5</v>
      </c>
      <c r="C57" s="5">
        <f>C47*Data!B26</f>
        <v>164</v>
      </c>
      <c r="D57" s="6">
        <f t="shared" si="1"/>
        <v>246</v>
      </c>
      <c r="F57" s="17" t="s">
        <v>334</v>
      </c>
      <c r="G57">
        <v>2</v>
      </c>
      <c r="H57" s="2">
        <v>82</v>
      </c>
      <c r="I57" s="6">
        <f t="shared" si="2"/>
        <v>164</v>
      </c>
      <c r="K57" s="9"/>
      <c r="L57" s="18"/>
      <c r="M57" s="9"/>
      <c r="N57" s="18"/>
      <c r="O57" s="9"/>
      <c r="P57" s="9"/>
      <c r="Q57" s="9"/>
      <c r="R57" s="18"/>
      <c r="S57" s="18"/>
    </row>
    <row r="58" spans="1:19" ht="12.75">
      <c r="A58" s="37" t="s">
        <v>27</v>
      </c>
      <c r="B58" s="38">
        <v>6.69</v>
      </c>
      <c r="C58" s="5">
        <f>ROUNDUP(C47/12,0)</f>
        <v>7</v>
      </c>
      <c r="D58" s="6">
        <f t="shared" si="1"/>
        <v>46.830000000000005</v>
      </c>
      <c r="F58" s="1"/>
      <c r="H58" s="2">
        <v>82</v>
      </c>
      <c r="I58" s="6">
        <f t="shared" si="2"/>
        <v>0</v>
      </c>
      <c r="K58" s="9"/>
      <c r="L58" s="18"/>
      <c r="M58" s="9"/>
      <c r="N58" s="18"/>
      <c r="O58" s="9"/>
      <c r="P58" s="9"/>
      <c r="Q58" s="9"/>
      <c r="R58" s="18"/>
      <c r="S58" s="18"/>
    </row>
    <row r="59" spans="1:19" ht="15.75">
      <c r="A59" s="39" t="s">
        <v>249</v>
      </c>
      <c r="B59" s="40"/>
      <c r="C59" s="41"/>
      <c r="D59" s="40"/>
      <c r="E59" s="41"/>
      <c r="F59" s="39" t="s">
        <v>249</v>
      </c>
      <c r="G59" s="40"/>
      <c r="H59" s="41"/>
      <c r="I59" s="40"/>
      <c r="K59" s="9"/>
      <c r="L59" s="18"/>
      <c r="M59" s="9"/>
      <c r="N59" s="18"/>
      <c r="O59" s="9"/>
      <c r="P59" s="9"/>
      <c r="Q59" s="9"/>
      <c r="R59" s="18"/>
      <c r="S59" s="18"/>
    </row>
    <row r="60" spans="1:19" ht="12.75">
      <c r="A60" s="23" t="s">
        <v>226</v>
      </c>
      <c r="B60" s="24">
        <v>44.1</v>
      </c>
      <c r="C60" s="5">
        <f>Data!F32</f>
        <v>64</v>
      </c>
      <c r="D60" s="6">
        <f aca="true" t="shared" si="3" ref="D60:D71">B60*C60</f>
        <v>2822.4</v>
      </c>
      <c r="F60" s="86" t="s">
        <v>226</v>
      </c>
      <c r="G60" s="5">
        <f>Data!F32</f>
        <v>64</v>
      </c>
      <c r="H60" s="24">
        <v>40.34</v>
      </c>
      <c r="I60" s="6">
        <f aca="true" t="shared" si="4" ref="I60:I71">G60*H60</f>
        <v>2581.76</v>
      </c>
      <c r="K60" s="9"/>
      <c r="L60" s="18"/>
      <c r="M60" s="9"/>
      <c r="N60" s="18"/>
      <c r="O60" s="9"/>
      <c r="P60" s="9"/>
      <c r="Q60" s="9"/>
      <c r="R60" s="18"/>
      <c r="S60" s="18"/>
    </row>
    <row r="61" spans="1:19" ht="12.75">
      <c r="A61" s="41" t="s">
        <v>33</v>
      </c>
      <c r="B61" s="40">
        <v>1405</v>
      </c>
      <c r="D61" s="6">
        <f t="shared" si="3"/>
        <v>0</v>
      </c>
      <c r="F61" s="1"/>
      <c r="H61" s="2">
        <v>82</v>
      </c>
      <c r="I61" s="6">
        <f t="shared" si="4"/>
        <v>0</v>
      </c>
      <c r="K61" s="9"/>
      <c r="L61" s="18"/>
      <c r="M61" s="9"/>
      <c r="N61" s="18"/>
      <c r="O61" s="9"/>
      <c r="P61" s="9"/>
      <c r="Q61" s="9"/>
      <c r="R61" s="18"/>
      <c r="S61" s="18"/>
    </row>
    <row r="62" spans="1:19" ht="12.75">
      <c r="A62" s="41" t="s">
        <v>34</v>
      </c>
      <c r="B62" s="40">
        <v>478</v>
      </c>
      <c r="D62" s="6">
        <f t="shared" si="3"/>
        <v>0</v>
      </c>
      <c r="F62" s="1" t="s">
        <v>339</v>
      </c>
      <c r="H62" s="2">
        <v>82</v>
      </c>
      <c r="I62" s="6">
        <f t="shared" si="4"/>
        <v>0</v>
      </c>
      <c r="K62" s="9"/>
      <c r="L62" s="18"/>
      <c r="M62" s="9"/>
      <c r="N62" s="18"/>
      <c r="O62" s="9"/>
      <c r="P62" s="9"/>
      <c r="Q62" s="9"/>
      <c r="R62" s="18"/>
      <c r="S62" s="18"/>
    </row>
    <row r="63" spans="1:19" ht="12.75">
      <c r="A63" s="41" t="s">
        <v>35</v>
      </c>
      <c r="B63" s="40">
        <v>285</v>
      </c>
      <c r="D63" s="6">
        <f t="shared" si="3"/>
        <v>0</v>
      </c>
      <c r="F63" s="1"/>
      <c r="H63" s="2">
        <v>82</v>
      </c>
      <c r="I63" s="6">
        <f t="shared" si="4"/>
        <v>0</v>
      </c>
      <c r="K63" s="9"/>
      <c r="L63" s="18"/>
      <c r="M63" s="9"/>
      <c r="N63" s="18"/>
      <c r="O63" s="9"/>
      <c r="P63" s="9"/>
      <c r="Q63" s="9"/>
      <c r="R63" s="18"/>
      <c r="S63" s="18"/>
    </row>
    <row r="64" spans="1:19" ht="12.75">
      <c r="A64" s="41" t="s">
        <v>36</v>
      </c>
      <c r="B64" s="40">
        <v>301</v>
      </c>
      <c r="D64" s="6">
        <f t="shared" si="3"/>
        <v>0</v>
      </c>
      <c r="F64" s="1"/>
      <c r="H64" s="2">
        <v>82</v>
      </c>
      <c r="I64" s="6">
        <f t="shared" si="4"/>
        <v>0</v>
      </c>
      <c r="K64" s="9"/>
      <c r="L64" s="18"/>
      <c r="M64" s="9"/>
      <c r="N64" s="18"/>
      <c r="O64" s="9"/>
      <c r="P64" s="9"/>
      <c r="Q64" s="9"/>
      <c r="R64" s="18"/>
      <c r="S64" s="18"/>
    </row>
    <row r="65" spans="1:19" ht="12.75">
      <c r="A65" s="41" t="s">
        <v>242</v>
      </c>
      <c r="B65" s="40">
        <v>950</v>
      </c>
      <c r="D65" s="6">
        <f t="shared" si="3"/>
        <v>0</v>
      </c>
      <c r="F65" s="1" t="s">
        <v>242</v>
      </c>
      <c r="H65" s="2">
        <v>1000</v>
      </c>
      <c r="I65" s="6">
        <f t="shared" si="4"/>
        <v>0</v>
      </c>
      <c r="K65" s="9"/>
      <c r="L65" s="18"/>
      <c r="M65" s="9"/>
      <c r="N65" s="18"/>
      <c r="O65" s="9"/>
      <c r="P65" s="9"/>
      <c r="Q65" s="9"/>
      <c r="R65" s="18"/>
      <c r="S65" s="18"/>
    </row>
    <row r="66" spans="1:19" ht="12.75">
      <c r="A66" s="41" t="s">
        <v>342</v>
      </c>
      <c r="B66" s="40">
        <v>20</v>
      </c>
      <c r="D66" s="6">
        <f t="shared" si="3"/>
        <v>0</v>
      </c>
      <c r="F66" s="1" t="s">
        <v>340</v>
      </c>
      <c r="H66" s="2">
        <v>82</v>
      </c>
      <c r="I66" s="6">
        <f t="shared" si="4"/>
        <v>0</v>
      </c>
      <c r="K66" s="9"/>
      <c r="L66" s="18"/>
      <c r="M66" s="9"/>
      <c r="N66" s="18"/>
      <c r="O66" s="9"/>
      <c r="P66" s="9"/>
      <c r="Q66" s="9"/>
      <c r="R66" s="18"/>
      <c r="S66" s="18"/>
    </row>
    <row r="67" spans="1:19" ht="12.75">
      <c r="A67" s="41" t="s">
        <v>37</v>
      </c>
      <c r="B67" s="40">
        <v>138</v>
      </c>
      <c r="D67" s="6">
        <f t="shared" si="3"/>
        <v>0</v>
      </c>
      <c r="F67" s="1"/>
      <c r="H67" s="2">
        <v>82</v>
      </c>
      <c r="I67" s="6">
        <f t="shared" si="4"/>
        <v>0</v>
      </c>
      <c r="K67" s="9"/>
      <c r="L67" s="18"/>
      <c r="M67" s="9"/>
      <c r="N67" s="18"/>
      <c r="O67" s="9"/>
      <c r="P67" s="9"/>
      <c r="Q67" s="9"/>
      <c r="R67" s="18"/>
      <c r="S67" s="18"/>
    </row>
    <row r="68" spans="1:19" ht="12.75">
      <c r="A68" s="41" t="s">
        <v>38</v>
      </c>
      <c r="B68" s="40">
        <v>630</v>
      </c>
      <c r="C68">
        <v>1</v>
      </c>
      <c r="D68" s="6">
        <f t="shared" si="3"/>
        <v>630</v>
      </c>
      <c r="F68" s="1" t="s">
        <v>341</v>
      </c>
      <c r="G68">
        <v>2</v>
      </c>
      <c r="H68" s="2">
        <v>82</v>
      </c>
      <c r="I68" s="6">
        <f t="shared" si="4"/>
        <v>164</v>
      </c>
      <c r="K68" s="9"/>
      <c r="L68" s="18"/>
      <c r="M68" s="9"/>
      <c r="N68" s="18"/>
      <c r="O68" s="9"/>
      <c r="P68" s="9"/>
      <c r="Q68" s="9"/>
      <c r="R68" s="18"/>
      <c r="S68" s="18"/>
    </row>
    <row r="69" spans="1:19" ht="12.75">
      <c r="A69" s="41" t="s">
        <v>83</v>
      </c>
      <c r="B69" s="40">
        <v>825</v>
      </c>
      <c r="D69" s="6">
        <f t="shared" si="3"/>
        <v>0</v>
      </c>
      <c r="F69" s="1"/>
      <c r="H69" s="2">
        <v>82</v>
      </c>
      <c r="I69" s="6">
        <f t="shared" si="4"/>
        <v>0</v>
      </c>
      <c r="K69" s="9"/>
      <c r="L69" s="18"/>
      <c r="M69" s="9"/>
      <c r="N69" s="18"/>
      <c r="O69" s="9"/>
      <c r="P69" s="9"/>
      <c r="Q69" s="9"/>
      <c r="R69" s="18"/>
      <c r="S69" s="18"/>
    </row>
    <row r="70" spans="1:19" ht="12.75">
      <c r="A70" s="41" t="s">
        <v>250</v>
      </c>
      <c r="B70" s="40">
        <v>30</v>
      </c>
      <c r="D70" s="6">
        <f t="shared" si="3"/>
        <v>0</v>
      </c>
      <c r="F70" s="1"/>
      <c r="H70" s="2">
        <v>82</v>
      </c>
      <c r="I70" s="6">
        <f t="shared" si="4"/>
        <v>0</v>
      </c>
      <c r="K70" s="9"/>
      <c r="L70" s="18"/>
      <c r="M70" s="9"/>
      <c r="N70" s="18"/>
      <c r="O70" s="9"/>
      <c r="P70" s="9"/>
      <c r="Q70" s="9"/>
      <c r="R70" s="18"/>
      <c r="S70" s="18"/>
    </row>
    <row r="71" spans="1:19" ht="12.75">
      <c r="A71" s="41" t="s">
        <v>251</v>
      </c>
      <c r="B71" s="40">
        <v>30</v>
      </c>
      <c r="D71" s="6">
        <f t="shared" si="3"/>
        <v>0</v>
      </c>
      <c r="F71" s="1"/>
      <c r="H71" s="2">
        <v>82</v>
      </c>
      <c r="I71" s="6">
        <f t="shared" si="4"/>
        <v>0</v>
      </c>
      <c r="K71" s="9"/>
      <c r="L71" s="18"/>
      <c r="M71" s="9"/>
      <c r="N71" s="18"/>
      <c r="O71" s="9"/>
      <c r="P71" s="9"/>
      <c r="Q71" s="9"/>
      <c r="R71" s="18"/>
      <c r="S71" s="18"/>
    </row>
    <row r="72" spans="1:19" ht="15.75">
      <c r="A72" s="35" t="s">
        <v>248</v>
      </c>
      <c r="B72" s="12"/>
      <c r="C72" s="11"/>
      <c r="D72" s="12"/>
      <c r="E72" s="11"/>
      <c r="F72" s="35" t="s">
        <v>248</v>
      </c>
      <c r="G72" s="12"/>
      <c r="H72" s="11"/>
      <c r="I72" s="12"/>
      <c r="K72" s="9"/>
      <c r="L72" s="18"/>
      <c r="M72" s="9"/>
      <c r="N72" s="18"/>
      <c r="O72" s="9"/>
      <c r="P72" s="9"/>
      <c r="Q72" s="9"/>
      <c r="R72" s="18"/>
      <c r="S72" s="18"/>
    </row>
    <row r="73" spans="1:19" ht="12.75">
      <c r="A73" s="11" t="s">
        <v>28</v>
      </c>
      <c r="B73" s="12">
        <v>72</v>
      </c>
      <c r="C73" s="5">
        <f>ROUNDUP(Data!F31*0.01,0)</f>
        <v>9</v>
      </c>
      <c r="D73" s="6">
        <f t="shared" si="1"/>
        <v>648</v>
      </c>
      <c r="F73" s="1" t="s">
        <v>336</v>
      </c>
      <c r="G73">
        <v>4</v>
      </c>
      <c r="H73" s="2">
        <v>82</v>
      </c>
      <c r="I73" s="6">
        <f t="shared" si="2"/>
        <v>328</v>
      </c>
      <c r="K73" s="9"/>
      <c r="L73" s="18"/>
      <c r="M73" s="9"/>
      <c r="N73" s="18"/>
      <c r="O73" s="9"/>
      <c r="P73" s="9"/>
      <c r="Q73" s="9"/>
      <c r="R73" s="18"/>
      <c r="S73" s="18"/>
    </row>
    <row r="74" spans="1:19" ht="12.75">
      <c r="A74" s="11" t="s">
        <v>29</v>
      </c>
      <c r="B74" s="12"/>
      <c r="D74" s="6">
        <f t="shared" si="1"/>
        <v>0</v>
      </c>
      <c r="F74" s="1" t="s">
        <v>337</v>
      </c>
      <c r="G74">
        <v>4</v>
      </c>
      <c r="H74" s="2">
        <v>82</v>
      </c>
      <c r="I74" s="6">
        <f t="shared" si="2"/>
        <v>328</v>
      </c>
      <c r="K74" s="17"/>
      <c r="L74" s="18"/>
      <c r="M74" s="9"/>
      <c r="N74" s="18"/>
      <c r="O74" s="9"/>
      <c r="P74" s="9"/>
      <c r="Q74" s="9"/>
      <c r="R74" s="18"/>
      <c r="S74" s="18"/>
    </row>
    <row r="75" spans="1:19" ht="12.75">
      <c r="A75" s="11" t="s">
        <v>30</v>
      </c>
      <c r="B75" s="12">
        <v>0.43</v>
      </c>
      <c r="D75" s="6">
        <f t="shared" si="1"/>
        <v>0</v>
      </c>
      <c r="F75" s="1"/>
      <c r="H75" s="2">
        <v>82</v>
      </c>
      <c r="I75" s="6">
        <f t="shared" si="2"/>
        <v>0</v>
      </c>
      <c r="K75" s="9"/>
      <c r="L75" s="18"/>
      <c r="M75" s="9"/>
      <c r="N75" s="18"/>
      <c r="O75" s="9"/>
      <c r="P75" s="9"/>
      <c r="Q75" s="9"/>
      <c r="R75" s="18"/>
      <c r="S75" s="18"/>
    </row>
    <row r="76" spans="1:19" ht="12.75">
      <c r="A76" s="11" t="s">
        <v>240</v>
      </c>
      <c r="B76" s="12">
        <v>0.35</v>
      </c>
      <c r="D76" s="6">
        <f t="shared" si="1"/>
        <v>0</v>
      </c>
      <c r="F76" s="1" t="s">
        <v>338</v>
      </c>
      <c r="G76">
        <v>8</v>
      </c>
      <c r="H76" s="2">
        <v>82</v>
      </c>
      <c r="I76" s="6">
        <f t="shared" si="2"/>
        <v>656</v>
      </c>
      <c r="K76" s="9"/>
      <c r="L76" s="18"/>
      <c r="M76" s="9"/>
      <c r="N76" s="18"/>
      <c r="O76" s="9"/>
      <c r="P76" s="9"/>
      <c r="Q76" s="9"/>
      <c r="R76" s="18"/>
      <c r="S76" s="18"/>
    </row>
    <row r="77" spans="1:19" ht="12.75">
      <c r="A77" s="11" t="s">
        <v>32</v>
      </c>
      <c r="B77" s="12">
        <v>13.17</v>
      </c>
      <c r="D77" s="6">
        <f t="shared" si="1"/>
        <v>0</v>
      </c>
      <c r="F77" s="1"/>
      <c r="H77" s="2">
        <v>82</v>
      </c>
      <c r="I77" s="6">
        <f t="shared" si="2"/>
        <v>0</v>
      </c>
      <c r="K77" s="9"/>
      <c r="L77" s="18"/>
      <c r="M77" s="9"/>
      <c r="N77" s="18"/>
      <c r="O77" s="9"/>
      <c r="P77" s="9"/>
      <c r="Q77" s="9"/>
      <c r="R77" s="18"/>
      <c r="S77" s="18"/>
    </row>
    <row r="78" spans="1:19" ht="12.75">
      <c r="A78" s="11" t="s">
        <v>31</v>
      </c>
      <c r="B78" s="12">
        <v>9.04</v>
      </c>
      <c r="D78" s="6">
        <f t="shared" si="1"/>
        <v>0</v>
      </c>
      <c r="F78" s="1"/>
      <c r="H78" s="2">
        <v>82</v>
      </c>
      <c r="I78" s="6">
        <f t="shared" si="2"/>
        <v>0</v>
      </c>
      <c r="K78" s="9"/>
      <c r="L78" s="18"/>
      <c r="M78" s="9"/>
      <c r="N78" s="18"/>
      <c r="O78" s="9"/>
      <c r="P78" s="9"/>
      <c r="Q78" s="9"/>
      <c r="R78" s="18"/>
      <c r="S78" s="18"/>
    </row>
    <row r="79" spans="1:19" ht="12.75">
      <c r="A79" s="11" t="s">
        <v>241</v>
      </c>
      <c r="B79" s="12">
        <v>0.51</v>
      </c>
      <c r="D79" s="6">
        <f t="shared" si="1"/>
        <v>0</v>
      </c>
      <c r="F79" s="1"/>
      <c r="H79" s="2">
        <v>82</v>
      </c>
      <c r="I79" s="6">
        <f t="shared" si="2"/>
        <v>0</v>
      </c>
      <c r="K79" s="9"/>
      <c r="L79" s="18"/>
      <c r="M79" s="9"/>
      <c r="N79" s="18"/>
      <c r="O79" s="9"/>
      <c r="P79" s="9"/>
      <c r="Q79" s="9"/>
      <c r="R79" s="18"/>
      <c r="S79" s="18"/>
    </row>
    <row r="80" spans="1:19" ht="15.75">
      <c r="A80" s="42" t="s">
        <v>252</v>
      </c>
      <c r="B80" s="43"/>
      <c r="C80" s="4"/>
      <c r="D80" s="43"/>
      <c r="E80" s="4"/>
      <c r="F80" s="42" t="s">
        <v>252</v>
      </c>
      <c r="G80" s="43"/>
      <c r="H80" s="4"/>
      <c r="I80" s="43"/>
      <c r="K80" s="17"/>
      <c r="L80" s="18"/>
      <c r="M80" s="9"/>
      <c r="N80" s="16"/>
      <c r="O80" s="9"/>
      <c r="P80" s="17"/>
      <c r="Q80" s="9"/>
      <c r="R80" s="18"/>
      <c r="S80" s="16"/>
    </row>
    <row r="81" spans="1:19" ht="15.75">
      <c r="A81" s="4" t="s">
        <v>172</v>
      </c>
      <c r="B81" s="43">
        <v>12.5</v>
      </c>
      <c r="C81" s="9"/>
      <c r="D81" s="6">
        <f t="shared" si="1"/>
        <v>0</v>
      </c>
      <c r="E81" s="9"/>
      <c r="F81" s="57"/>
      <c r="G81" s="18"/>
      <c r="H81" s="117">
        <v>82</v>
      </c>
      <c r="I81" s="6">
        <f t="shared" si="2"/>
        <v>0</v>
      </c>
      <c r="K81" s="17"/>
      <c r="L81" s="18"/>
      <c r="M81" s="9"/>
      <c r="N81" s="16"/>
      <c r="O81" s="9"/>
      <c r="P81" s="17"/>
      <c r="Q81" s="9"/>
      <c r="R81" s="18"/>
      <c r="S81" s="16"/>
    </row>
    <row r="82" spans="1:19" ht="12.75">
      <c r="A82" s="4" t="s">
        <v>173</v>
      </c>
      <c r="B82" s="43">
        <v>25</v>
      </c>
      <c r="D82" s="6">
        <f t="shared" si="1"/>
        <v>0</v>
      </c>
      <c r="F82" s="1"/>
      <c r="H82" s="2">
        <v>82</v>
      </c>
      <c r="I82" s="6">
        <f t="shared" si="2"/>
        <v>0</v>
      </c>
      <c r="K82" s="9"/>
      <c r="L82" s="18"/>
      <c r="M82" s="9"/>
      <c r="N82" s="18"/>
      <c r="O82" s="9"/>
      <c r="P82" s="17"/>
      <c r="Q82" s="9"/>
      <c r="R82" s="18"/>
      <c r="S82" s="16"/>
    </row>
    <row r="83" spans="1:19" ht="12.75">
      <c r="A83" s="4" t="s">
        <v>174</v>
      </c>
      <c r="B83" s="43">
        <v>17.5</v>
      </c>
      <c r="D83" s="6">
        <f t="shared" si="1"/>
        <v>0</v>
      </c>
      <c r="F83" s="1"/>
      <c r="H83" s="2">
        <v>82</v>
      </c>
      <c r="I83" s="6">
        <f t="shared" si="2"/>
        <v>0</v>
      </c>
      <c r="K83" s="17"/>
      <c r="L83" s="16"/>
      <c r="M83" s="17"/>
      <c r="N83" s="16"/>
      <c r="O83" s="9"/>
      <c r="P83" s="17"/>
      <c r="Q83" s="9"/>
      <c r="R83" s="18"/>
      <c r="S83" s="16"/>
    </row>
    <row r="84" spans="1:19" ht="12.75">
      <c r="A84" s="4" t="s">
        <v>175</v>
      </c>
      <c r="B84" s="43">
        <v>22</v>
      </c>
      <c r="D84" s="6">
        <f t="shared" si="1"/>
        <v>0</v>
      </c>
      <c r="F84" s="1"/>
      <c r="H84" s="2">
        <v>82</v>
      </c>
      <c r="I84" s="6">
        <f t="shared" si="2"/>
        <v>0</v>
      </c>
      <c r="K84" s="9"/>
      <c r="L84" s="9"/>
      <c r="M84" s="9"/>
      <c r="N84" s="9"/>
      <c r="O84" s="9"/>
      <c r="P84" s="17"/>
      <c r="Q84" s="9"/>
      <c r="R84" s="18"/>
      <c r="S84" s="16"/>
    </row>
    <row r="85" spans="1:19" ht="12.75">
      <c r="A85" s="4" t="s">
        <v>176</v>
      </c>
      <c r="B85" s="43">
        <v>12</v>
      </c>
      <c r="D85" s="6">
        <f t="shared" si="1"/>
        <v>0</v>
      </c>
      <c r="F85" s="1"/>
      <c r="H85" s="2">
        <v>82</v>
      </c>
      <c r="I85" s="6">
        <f t="shared" si="2"/>
        <v>0</v>
      </c>
      <c r="K85" s="1"/>
      <c r="L85" s="3"/>
      <c r="M85" s="1"/>
      <c r="N85" s="16"/>
      <c r="O85" s="9"/>
      <c r="P85" s="17"/>
      <c r="Q85" s="9"/>
      <c r="R85" s="18"/>
      <c r="S85" s="16"/>
    </row>
    <row r="86" spans="1:19" ht="12.75">
      <c r="A86" s="4" t="s">
        <v>177</v>
      </c>
      <c r="B86" s="43">
        <v>106</v>
      </c>
      <c r="D86" s="6">
        <f t="shared" si="1"/>
        <v>0</v>
      </c>
      <c r="F86" s="1"/>
      <c r="H86" s="2">
        <v>82</v>
      </c>
      <c r="I86" s="6">
        <f t="shared" si="2"/>
        <v>0</v>
      </c>
      <c r="K86" s="1"/>
      <c r="L86" s="3"/>
      <c r="M86" s="1"/>
      <c r="N86" s="16"/>
      <c r="O86" s="9"/>
      <c r="P86" s="17"/>
      <c r="Q86" s="9"/>
      <c r="R86" s="18"/>
      <c r="S86" s="16"/>
    </row>
    <row r="87" spans="1:19" ht="12.75">
      <c r="A87" s="4" t="s">
        <v>178</v>
      </c>
      <c r="B87" s="43">
        <v>44</v>
      </c>
      <c r="D87" s="6">
        <f t="shared" si="1"/>
        <v>0</v>
      </c>
      <c r="F87" s="1"/>
      <c r="H87" s="2">
        <v>82</v>
      </c>
      <c r="I87" s="6">
        <f t="shared" si="2"/>
        <v>0</v>
      </c>
      <c r="K87" s="1"/>
      <c r="L87" s="3"/>
      <c r="M87" s="1"/>
      <c r="N87" s="16"/>
      <c r="O87" s="9"/>
      <c r="P87" s="17"/>
      <c r="Q87" s="9"/>
      <c r="R87" s="18"/>
      <c r="S87" s="16"/>
    </row>
    <row r="88" spans="1:19" ht="12.75">
      <c r="A88" s="4" t="s">
        <v>179</v>
      </c>
      <c r="B88" s="43">
        <v>30</v>
      </c>
      <c r="D88" s="6">
        <f t="shared" si="1"/>
        <v>0</v>
      </c>
      <c r="F88" s="1"/>
      <c r="H88" s="2">
        <v>82</v>
      </c>
      <c r="I88" s="6">
        <f t="shared" si="2"/>
        <v>0</v>
      </c>
      <c r="K88" s="1"/>
      <c r="L88" s="3"/>
      <c r="M88" s="1"/>
      <c r="N88" s="16"/>
      <c r="O88" s="9"/>
      <c r="P88" s="17"/>
      <c r="Q88" s="9"/>
      <c r="R88" s="18"/>
      <c r="S88" s="16"/>
    </row>
    <row r="89" spans="1:19" ht="12.75">
      <c r="A89" s="4" t="s">
        <v>180</v>
      </c>
      <c r="B89" s="43">
        <v>60</v>
      </c>
      <c r="D89" s="6">
        <f t="shared" si="1"/>
        <v>0</v>
      </c>
      <c r="F89" s="1"/>
      <c r="H89" s="2">
        <v>82</v>
      </c>
      <c r="I89" s="6">
        <f t="shared" si="2"/>
        <v>0</v>
      </c>
      <c r="K89" s="1"/>
      <c r="L89" s="3"/>
      <c r="M89" s="1"/>
      <c r="N89" s="16"/>
      <c r="O89" s="9"/>
      <c r="P89" s="17"/>
      <c r="Q89" s="9"/>
      <c r="R89" s="18"/>
      <c r="S89" s="16"/>
    </row>
    <row r="90" spans="1:19" ht="12.75">
      <c r="A90" s="4" t="s">
        <v>181</v>
      </c>
      <c r="B90" s="43">
        <v>40</v>
      </c>
      <c r="D90" s="6">
        <f t="shared" si="1"/>
        <v>0</v>
      </c>
      <c r="F90" s="1"/>
      <c r="H90" s="2">
        <v>82</v>
      </c>
      <c r="I90" s="6">
        <f t="shared" si="2"/>
        <v>0</v>
      </c>
      <c r="K90" s="1"/>
      <c r="L90" s="3"/>
      <c r="M90" s="1"/>
      <c r="N90" s="16"/>
      <c r="O90" s="9"/>
      <c r="P90" s="17"/>
      <c r="Q90" s="9"/>
      <c r="R90" s="18"/>
      <c r="S90" s="16"/>
    </row>
    <row r="91" spans="1:19" ht="12.75">
      <c r="A91" s="4" t="s">
        <v>182</v>
      </c>
      <c r="B91" s="43">
        <v>16</v>
      </c>
      <c r="D91" s="6">
        <f t="shared" si="1"/>
        <v>0</v>
      </c>
      <c r="F91" s="1"/>
      <c r="H91" s="2">
        <v>82</v>
      </c>
      <c r="I91" s="6">
        <f t="shared" si="2"/>
        <v>0</v>
      </c>
      <c r="K91" s="1"/>
      <c r="L91" s="3"/>
      <c r="M91" s="1"/>
      <c r="N91" s="16"/>
      <c r="O91" s="9"/>
      <c r="P91" s="17"/>
      <c r="Q91" s="9"/>
      <c r="R91" s="18"/>
      <c r="S91" s="16"/>
    </row>
    <row r="92" spans="1:19" ht="12.75">
      <c r="A92" s="4" t="s">
        <v>39</v>
      </c>
      <c r="B92" s="43">
        <v>28</v>
      </c>
      <c r="C92" s="5">
        <f>ROUNDUP(Data!F13*0.01,0)</f>
        <v>1</v>
      </c>
      <c r="D92" s="6">
        <f t="shared" si="1"/>
        <v>28</v>
      </c>
      <c r="F92" s="1"/>
      <c r="H92" s="2">
        <v>82</v>
      </c>
      <c r="I92" s="6">
        <f t="shared" si="2"/>
        <v>0</v>
      </c>
      <c r="N92" s="9"/>
      <c r="O92" s="9"/>
      <c r="P92" s="17"/>
      <c r="Q92" s="9"/>
      <c r="R92" s="18"/>
      <c r="S92" s="16"/>
    </row>
    <row r="93" spans="1:19" ht="15.75">
      <c r="A93" s="36" t="s">
        <v>253</v>
      </c>
      <c r="B93" s="46"/>
      <c r="C93" s="13"/>
      <c r="D93" s="14"/>
      <c r="E93" s="13"/>
      <c r="F93" s="36" t="s">
        <v>253</v>
      </c>
      <c r="G93" s="46"/>
      <c r="H93" s="13"/>
      <c r="I93" s="14"/>
      <c r="N93" s="9"/>
      <c r="O93" s="9"/>
      <c r="P93" s="17"/>
      <c r="Q93" s="9"/>
      <c r="R93" s="18"/>
      <c r="S93" s="16"/>
    </row>
    <row r="94" spans="1:19" ht="12.75">
      <c r="A94" s="47" t="s">
        <v>40</v>
      </c>
      <c r="B94" s="46">
        <v>20.18</v>
      </c>
      <c r="C94" s="5">
        <f>ROUNDUP(Data!F15/49,0)</f>
        <v>15</v>
      </c>
      <c r="D94" s="6">
        <f t="shared" si="1"/>
        <v>302.7</v>
      </c>
      <c r="F94" s="1"/>
      <c r="H94" s="2">
        <v>82</v>
      </c>
      <c r="I94" s="6">
        <f t="shared" si="2"/>
        <v>0</v>
      </c>
      <c r="P94" s="1"/>
      <c r="R94" s="2"/>
      <c r="S94" s="3"/>
    </row>
    <row r="95" spans="1:9" ht="12.75">
      <c r="A95" s="47" t="s">
        <v>41</v>
      </c>
      <c r="B95" s="46">
        <v>30.55</v>
      </c>
      <c r="C95" s="5">
        <f>ROUNDUP(Data!F11/75,0)</f>
        <v>9</v>
      </c>
      <c r="D95" s="6">
        <f t="shared" si="1"/>
        <v>274.95</v>
      </c>
      <c r="F95" s="1"/>
      <c r="H95" s="2">
        <v>82</v>
      </c>
      <c r="I95" s="6">
        <f t="shared" si="2"/>
        <v>0</v>
      </c>
    </row>
    <row r="96" spans="1:9" ht="12.75">
      <c r="A96" s="47" t="s">
        <v>42</v>
      </c>
      <c r="B96" s="46">
        <v>2</v>
      </c>
      <c r="D96" s="6">
        <f t="shared" si="1"/>
        <v>0</v>
      </c>
      <c r="F96" s="1"/>
      <c r="H96" s="2">
        <v>82</v>
      </c>
      <c r="I96" s="6">
        <f t="shared" si="2"/>
        <v>0</v>
      </c>
    </row>
    <row r="97" spans="1:9" ht="12.75">
      <c r="A97" s="47" t="s">
        <v>43</v>
      </c>
      <c r="B97" s="46">
        <v>1.5</v>
      </c>
      <c r="C97" s="5">
        <f>Data!B24</f>
        <v>20</v>
      </c>
      <c r="D97" s="6">
        <f t="shared" si="1"/>
        <v>30</v>
      </c>
      <c r="F97" s="1"/>
      <c r="H97" s="2">
        <v>82</v>
      </c>
      <c r="I97" s="6">
        <f t="shared" si="2"/>
        <v>0</v>
      </c>
    </row>
    <row r="98" spans="1:9" ht="15.75">
      <c r="A98" s="44" t="s">
        <v>254</v>
      </c>
      <c r="B98" s="45"/>
      <c r="C98" s="79"/>
      <c r="D98" s="80"/>
      <c r="E98" s="79"/>
      <c r="F98" s="71" t="s">
        <v>254</v>
      </c>
      <c r="G98" s="80"/>
      <c r="H98" s="79"/>
      <c r="I98" s="80"/>
    </row>
    <row r="99" spans="1:9" ht="12.75">
      <c r="A99" s="15" t="s">
        <v>44</v>
      </c>
      <c r="B99" s="45">
        <v>10.36</v>
      </c>
      <c r="C99" s="5">
        <f>ROUNDUP(Data!F11/32,0)</f>
        <v>20</v>
      </c>
      <c r="D99" s="6">
        <f t="shared" si="1"/>
        <v>207.2</v>
      </c>
      <c r="F99" s="1" t="s">
        <v>377</v>
      </c>
      <c r="G99">
        <v>4</v>
      </c>
      <c r="H99">
        <v>82</v>
      </c>
      <c r="I99" s="6">
        <f t="shared" si="2"/>
        <v>328</v>
      </c>
    </row>
    <row r="100" spans="1:9" ht="12.75">
      <c r="A100" s="15" t="s">
        <v>45</v>
      </c>
      <c r="B100" s="45">
        <v>8</v>
      </c>
      <c r="C100" s="5">
        <f>ROUNDUP(Data!F20/32,0)</f>
        <v>43</v>
      </c>
      <c r="D100" s="6">
        <f t="shared" si="1"/>
        <v>344</v>
      </c>
      <c r="F100" s="1" t="s">
        <v>378</v>
      </c>
      <c r="G100">
        <v>8</v>
      </c>
      <c r="H100">
        <v>82</v>
      </c>
      <c r="I100" s="6">
        <f t="shared" si="2"/>
        <v>656</v>
      </c>
    </row>
    <row r="101" spans="1:9" ht="12.75">
      <c r="A101" s="15" t="s">
        <v>46</v>
      </c>
      <c r="B101" s="45">
        <v>16</v>
      </c>
      <c r="D101" s="6">
        <f t="shared" si="1"/>
        <v>0</v>
      </c>
      <c r="F101" s="1"/>
      <c r="H101">
        <v>82</v>
      </c>
      <c r="I101" s="6">
        <f t="shared" si="2"/>
        <v>0</v>
      </c>
    </row>
    <row r="102" spans="1:9" ht="12.75">
      <c r="A102" s="15" t="s">
        <v>47</v>
      </c>
      <c r="B102" s="45">
        <v>1.8</v>
      </c>
      <c r="D102" s="6">
        <f t="shared" si="1"/>
        <v>0</v>
      </c>
      <c r="F102" s="1"/>
      <c r="H102">
        <v>82</v>
      </c>
      <c r="I102" s="6">
        <f t="shared" si="2"/>
        <v>0</v>
      </c>
    </row>
    <row r="103" spans="1:9" ht="12.75">
      <c r="A103" s="15" t="s">
        <v>48</v>
      </c>
      <c r="B103" s="45">
        <v>2.24</v>
      </c>
      <c r="D103" s="6">
        <f t="shared" si="1"/>
        <v>0</v>
      </c>
      <c r="F103" s="1"/>
      <c r="H103">
        <v>82</v>
      </c>
      <c r="I103" s="6">
        <f t="shared" si="2"/>
        <v>0</v>
      </c>
    </row>
    <row r="104" spans="1:9" ht="15.75">
      <c r="A104" s="42" t="s">
        <v>304</v>
      </c>
      <c r="B104" s="43"/>
      <c r="C104" s="4"/>
      <c r="D104" s="43">
        <f t="shared" si="1"/>
        <v>0</v>
      </c>
      <c r="E104" s="4"/>
      <c r="F104" s="42" t="s">
        <v>297</v>
      </c>
      <c r="G104" s="4"/>
      <c r="H104" s="43"/>
      <c r="I104" s="43"/>
    </row>
    <row r="105" spans="1:9" ht="12.75">
      <c r="A105" s="4" t="s">
        <v>298</v>
      </c>
      <c r="B105" s="43">
        <v>25</v>
      </c>
      <c r="C105" s="9">
        <f>ROUNDUP(Data!F22/250,0)</f>
        <v>8</v>
      </c>
      <c r="D105" s="6">
        <f t="shared" si="1"/>
        <v>200</v>
      </c>
      <c r="F105" s="17" t="s">
        <v>298</v>
      </c>
      <c r="G105" s="9">
        <v>4</v>
      </c>
      <c r="H105" s="18">
        <v>82</v>
      </c>
      <c r="I105" s="6">
        <f t="shared" si="2"/>
        <v>328</v>
      </c>
    </row>
    <row r="106" spans="1:9" ht="12.75">
      <c r="A106" s="4" t="s">
        <v>299</v>
      </c>
      <c r="B106" s="43">
        <v>25</v>
      </c>
      <c r="C106" s="9">
        <f>ROUNDUP(Data!F22/250,0)</f>
        <v>8</v>
      </c>
      <c r="D106" s="6">
        <f t="shared" si="1"/>
        <v>200</v>
      </c>
      <c r="F106" s="17" t="s">
        <v>297</v>
      </c>
      <c r="G106" s="9">
        <v>4</v>
      </c>
      <c r="H106" s="18">
        <v>82</v>
      </c>
      <c r="I106" s="6">
        <f t="shared" si="2"/>
        <v>328</v>
      </c>
    </row>
    <row r="107" spans="1:9" ht="12.75">
      <c r="A107" s="4" t="s">
        <v>300</v>
      </c>
      <c r="B107" s="43">
        <v>5</v>
      </c>
      <c r="C107" s="9">
        <f>C105+C106</f>
        <v>16</v>
      </c>
      <c r="D107" s="6">
        <f t="shared" si="1"/>
        <v>80</v>
      </c>
      <c r="F107" s="17"/>
      <c r="G107" s="9">
        <f>'[1]Sheet1'!G105</f>
        <v>0</v>
      </c>
      <c r="H107" s="18">
        <v>82</v>
      </c>
      <c r="I107" s="6">
        <f t="shared" si="2"/>
        <v>0</v>
      </c>
    </row>
    <row r="108" spans="1:9" ht="12.75">
      <c r="A108" s="4" t="s">
        <v>301</v>
      </c>
      <c r="B108" s="43">
        <v>10</v>
      </c>
      <c r="C108" s="9"/>
      <c r="D108" s="6">
        <f t="shared" si="1"/>
        <v>0</v>
      </c>
      <c r="F108" s="17" t="s">
        <v>301</v>
      </c>
      <c r="G108" s="9">
        <v>2</v>
      </c>
      <c r="H108" s="18">
        <v>82</v>
      </c>
      <c r="I108" s="6">
        <f t="shared" si="2"/>
        <v>164</v>
      </c>
    </row>
    <row r="109" spans="1:9" ht="12.75">
      <c r="A109" s="4" t="s">
        <v>302</v>
      </c>
      <c r="B109" s="43">
        <v>25</v>
      </c>
      <c r="C109" s="9"/>
      <c r="D109" s="6">
        <f t="shared" si="1"/>
        <v>0</v>
      </c>
      <c r="F109" s="17" t="s">
        <v>303</v>
      </c>
      <c r="G109" s="9">
        <v>2</v>
      </c>
      <c r="H109" s="18">
        <v>82</v>
      </c>
      <c r="I109" s="6">
        <f t="shared" si="2"/>
        <v>164</v>
      </c>
    </row>
    <row r="110" spans="1:9" ht="12.75">
      <c r="A110" s="4"/>
      <c r="B110" s="43"/>
      <c r="C110" s="9"/>
      <c r="D110" s="6">
        <f t="shared" si="1"/>
        <v>0</v>
      </c>
      <c r="F110" s="17"/>
      <c r="G110" s="9">
        <f>'[1]Sheet1'!G108</f>
        <v>0</v>
      </c>
      <c r="H110" s="18">
        <v>82</v>
      </c>
      <c r="I110" s="6">
        <f t="shared" si="2"/>
        <v>0</v>
      </c>
    </row>
    <row r="111" spans="1:9" ht="15.75">
      <c r="A111" s="48" t="s">
        <v>255</v>
      </c>
      <c r="B111" s="49"/>
      <c r="C111" s="19"/>
      <c r="D111" s="49"/>
      <c r="E111" s="19"/>
      <c r="F111" s="48" t="s">
        <v>255</v>
      </c>
      <c r="G111" s="49"/>
      <c r="H111" s="19"/>
      <c r="I111" s="49"/>
    </row>
    <row r="112" spans="1:9" ht="12.75">
      <c r="A112" s="19" t="s">
        <v>49</v>
      </c>
      <c r="B112" s="49">
        <v>166</v>
      </c>
      <c r="D112" s="6">
        <f t="shared" si="1"/>
        <v>0</v>
      </c>
      <c r="F112" s="1"/>
      <c r="H112" s="2">
        <v>82</v>
      </c>
      <c r="I112" s="6">
        <f t="shared" si="2"/>
        <v>0</v>
      </c>
    </row>
    <row r="113" spans="1:9" ht="12.75">
      <c r="A113" s="19" t="s">
        <v>50</v>
      </c>
      <c r="B113" s="49">
        <v>109</v>
      </c>
      <c r="D113" s="6">
        <f t="shared" si="1"/>
        <v>0</v>
      </c>
      <c r="F113" s="1"/>
      <c r="H113" s="2">
        <v>82</v>
      </c>
      <c r="I113" s="6">
        <f t="shared" si="2"/>
        <v>0</v>
      </c>
    </row>
    <row r="114" spans="1:9" ht="12.75">
      <c r="A114" s="19" t="s">
        <v>51</v>
      </c>
      <c r="B114" s="49">
        <v>222</v>
      </c>
      <c r="D114" s="6">
        <f aca="true" t="shared" si="5" ref="D114:D138">B114*C114</f>
        <v>0</v>
      </c>
      <c r="F114" s="1"/>
      <c r="H114" s="2">
        <v>82</v>
      </c>
      <c r="I114" s="6">
        <f>G114*H114</f>
        <v>0</v>
      </c>
    </row>
    <row r="115" spans="1:9" ht="12.75">
      <c r="A115" s="19" t="s">
        <v>53</v>
      </c>
      <c r="B115" s="49">
        <v>1.02</v>
      </c>
      <c r="C115" s="5">
        <f>Data!F23</f>
        <v>80</v>
      </c>
      <c r="D115" s="6">
        <f t="shared" si="5"/>
        <v>81.6</v>
      </c>
      <c r="F115" s="1"/>
      <c r="H115" s="2">
        <v>82</v>
      </c>
      <c r="I115" s="6">
        <f aca="true" t="shared" si="6" ref="I115:I139">G115*H115</f>
        <v>0</v>
      </c>
    </row>
    <row r="116" spans="1:9" ht="12.75">
      <c r="A116" s="19" t="s">
        <v>52</v>
      </c>
      <c r="B116" s="49">
        <v>0.84</v>
      </c>
      <c r="D116" s="6">
        <f t="shared" si="5"/>
        <v>0</v>
      </c>
      <c r="F116" s="1"/>
      <c r="H116" s="2">
        <v>82</v>
      </c>
      <c r="I116" s="6">
        <f t="shared" si="6"/>
        <v>0</v>
      </c>
    </row>
    <row r="117" spans="1:9" ht="12.75">
      <c r="A117" s="19" t="s">
        <v>54</v>
      </c>
      <c r="B117" s="49">
        <v>16.8</v>
      </c>
      <c r="D117" s="6">
        <f t="shared" si="5"/>
        <v>0</v>
      </c>
      <c r="F117" s="1"/>
      <c r="H117" s="2">
        <v>82</v>
      </c>
      <c r="I117" s="6">
        <f t="shared" si="6"/>
        <v>0</v>
      </c>
    </row>
    <row r="118" spans="1:9" ht="12.75">
      <c r="A118" s="19" t="s">
        <v>55</v>
      </c>
      <c r="B118" s="49">
        <v>0.37</v>
      </c>
      <c r="D118" s="6">
        <f t="shared" si="5"/>
        <v>0</v>
      </c>
      <c r="F118" s="1"/>
      <c r="H118" s="2">
        <v>82</v>
      </c>
      <c r="I118" s="6">
        <f t="shared" si="6"/>
        <v>0</v>
      </c>
    </row>
    <row r="119" spans="1:9" ht="12.75">
      <c r="A119" s="19" t="s">
        <v>56</v>
      </c>
      <c r="B119" s="49">
        <v>0.6</v>
      </c>
      <c r="D119" s="6">
        <f t="shared" si="5"/>
        <v>0</v>
      </c>
      <c r="F119" s="1"/>
      <c r="H119" s="2">
        <v>82</v>
      </c>
      <c r="I119" s="6">
        <f t="shared" si="6"/>
        <v>0</v>
      </c>
    </row>
    <row r="120" spans="1:9" ht="12.75">
      <c r="A120" s="19" t="s">
        <v>57</v>
      </c>
      <c r="B120" s="49">
        <v>0.75</v>
      </c>
      <c r="D120" s="6">
        <f t="shared" si="5"/>
        <v>0</v>
      </c>
      <c r="F120" s="1"/>
      <c r="H120" s="2">
        <v>82</v>
      </c>
      <c r="I120" s="6">
        <f t="shared" si="6"/>
        <v>0</v>
      </c>
    </row>
    <row r="121" spans="1:9" ht="12.75">
      <c r="A121" s="19" t="s">
        <v>58</v>
      </c>
      <c r="B121" s="49">
        <v>0.91</v>
      </c>
      <c r="D121" s="6">
        <f t="shared" si="5"/>
        <v>0</v>
      </c>
      <c r="F121" s="1"/>
      <c r="H121" s="2">
        <v>82</v>
      </c>
      <c r="I121" s="6">
        <f t="shared" si="6"/>
        <v>0</v>
      </c>
    </row>
    <row r="122" spans="1:9" ht="12.75">
      <c r="A122" s="19" t="s">
        <v>59</v>
      </c>
      <c r="B122" s="49">
        <v>1.13</v>
      </c>
      <c r="D122" s="6">
        <f t="shared" si="5"/>
        <v>0</v>
      </c>
      <c r="F122" s="1"/>
      <c r="H122" s="2">
        <v>82</v>
      </c>
      <c r="I122" s="6">
        <f t="shared" si="6"/>
        <v>0</v>
      </c>
    </row>
    <row r="123" spans="1:9" ht="12.75">
      <c r="A123" s="19" t="s">
        <v>60</v>
      </c>
      <c r="B123" s="49">
        <v>16.52</v>
      </c>
      <c r="D123" s="6">
        <f t="shared" si="5"/>
        <v>0</v>
      </c>
      <c r="F123" s="1"/>
      <c r="H123" s="2">
        <v>82</v>
      </c>
      <c r="I123" s="6">
        <f t="shared" si="6"/>
        <v>0</v>
      </c>
    </row>
    <row r="124" spans="1:9" ht="12.75">
      <c r="A124" s="19" t="s">
        <v>85</v>
      </c>
      <c r="B124" s="49">
        <v>34</v>
      </c>
      <c r="C124" s="5">
        <f>C112</f>
        <v>0</v>
      </c>
      <c r="D124" s="6">
        <f t="shared" si="5"/>
        <v>0</v>
      </c>
      <c r="F124" s="1"/>
      <c r="H124" s="2">
        <v>82</v>
      </c>
      <c r="I124" s="6">
        <f t="shared" si="6"/>
        <v>0</v>
      </c>
    </row>
    <row r="125" spans="1:9" ht="12.75">
      <c r="A125" s="19" t="s">
        <v>61</v>
      </c>
      <c r="B125" s="49">
        <v>25</v>
      </c>
      <c r="D125" s="6">
        <f t="shared" si="5"/>
        <v>0</v>
      </c>
      <c r="F125" s="1"/>
      <c r="H125" s="2">
        <v>82</v>
      </c>
      <c r="I125" s="6">
        <f t="shared" si="6"/>
        <v>0</v>
      </c>
    </row>
    <row r="126" spans="1:9" ht="12.75">
      <c r="A126" s="19" t="s">
        <v>62</v>
      </c>
      <c r="B126" s="49">
        <v>4.16</v>
      </c>
      <c r="D126" s="6">
        <f t="shared" si="5"/>
        <v>0</v>
      </c>
      <c r="F126" s="1"/>
      <c r="H126" s="2">
        <v>82</v>
      </c>
      <c r="I126" s="6">
        <f t="shared" si="6"/>
        <v>0</v>
      </c>
    </row>
    <row r="127" spans="1:9" ht="12.75">
      <c r="A127" s="19" t="s">
        <v>84</v>
      </c>
      <c r="B127" s="49">
        <v>3.29</v>
      </c>
      <c r="D127" s="6">
        <f t="shared" si="5"/>
        <v>0</v>
      </c>
      <c r="F127" s="1"/>
      <c r="H127" s="2">
        <v>82</v>
      </c>
      <c r="I127" s="6">
        <f t="shared" si="6"/>
        <v>0</v>
      </c>
    </row>
    <row r="128" spans="1:9" ht="12.75">
      <c r="A128" s="19" t="s">
        <v>63</v>
      </c>
      <c r="B128" s="49">
        <v>1.51</v>
      </c>
      <c r="D128" s="6">
        <f t="shared" si="5"/>
        <v>0</v>
      </c>
      <c r="F128" s="1"/>
      <c r="H128" s="2">
        <v>82</v>
      </c>
      <c r="I128" s="6">
        <f t="shared" si="6"/>
        <v>0</v>
      </c>
    </row>
    <row r="129" spans="1:9" ht="12.75">
      <c r="A129" s="19" t="s">
        <v>64</v>
      </c>
      <c r="B129" s="49">
        <v>2.27</v>
      </c>
      <c r="D129" s="6">
        <f t="shared" si="5"/>
        <v>0</v>
      </c>
      <c r="F129" s="1"/>
      <c r="H129" s="2">
        <v>82</v>
      </c>
      <c r="I129" s="6">
        <f t="shared" si="6"/>
        <v>0</v>
      </c>
    </row>
    <row r="130" spans="1:9" ht="12.75">
      <c r="A130" s="19" t="s">
        <v>65</v>
      </c>
      <c r="B130" s="49">
        <v>3.08</v>
      </c>
      <c r="D130" s="6">
        <f t="shared" si="5"/>
        <v>0</v>
      </c>
      <c r="F130" s="1"/>
      <c r="H130" s="2">
        <v>82</v>
      </c>
      <c r="I130" s="6">
        <f t="shared" si="6"/>
        <v>0</v>
      </c>
    </row>
    <row r="131" spans="1:9" ht="12.75">
      <c r="A131" s="19" t="s">
        <v>67</v>
      </c>
      <c r="B131" s="49">
        <v>20.41</v>
      </c>
      <c r="D131" s="6">
        <f t="shared" si="5"/>
        <v>0</v>
      </c>
      <c r="F131" s="87" t="s">
        <v>229</v>
      </c>
      <c r="G131">
        <v>5</v>
      </c>
      <c r="H131" s="2">
        <v>82</v>
      </c>
      <c r="I131" s="6">
        <f t="shared" si="6"/>
        <v>410</v>
      </c>
    </row>
    <row r="132" spans="1:9" ht="12.75">
      <c r="A132" s="19" t="s">
        <v>66</v>
      </c>
      <c r="B132" s="49">
        <v>58.44</v>
      </c>
      <c r="D132" s="6">
        <f t="shared" si="5"/>
        <v>0</v>
      </c>
      <c r="F132" s="1"/>
      <c r="H132" s="2">
        <v>82</v>
      </c>
      <c r="I132" s="6">
        <f t="shared" si="6"/>
        <v>0</v>
      </c>
    </row>
    <row r="133" spans="1:9" ht="12.75">
      <c r="A133" s="19" t="s">
        <v>68</v>
      </c>
      <c r="B133" s="49">
        <v>4.74</v>
      </c>
      <c r="D133" s="6">
        <f t="shared" si="5"/>
        <v>0</v>
      </c>
      <c r="F133" s="1"/>
      <c r="H133" s="2">
        <v>82</v>
      </c>
      <c r="I133" s="6">
        <f t="shared" si="6"/>
        <v>0</v>
      </c>
    </row>
    <row r="134" spans="1:9" ht="12.75">
      <c r="A134" t="s">
        <v>189</v>
      </c>
      <c r="B134" s="2">
        <v>2.5</v>
      </c>
      <c r="D134" s="6">
        <f t="shared" si="5"/>
        <v>0</v>
      </c>
      <c r="F134" s="1" t="s">
        <v>193</v>
      </c>
      <c r="H134" s="2">
        <v>1</v>
      </c>
      <c r="I134" s="6">
        <f t="shared" si="6"/>
        <v>0</v>
      </c>
    </row>
    <row r="135" spans="1:9" ht="12.75">
      <c r="A135" t="s">
        <v>190</v>
      </c>
      <c r="B135" s="2">
        <v>1.5</v>
      </c>
      <c r="D135" s="6">
        <f t="shared" si="5"/>
        <v>0</v>
      </c>
      <c r="F135" s="1" t="s">
        <v>194</v>
      </c>
      <c r="H135" s="2">
        <v>0.5</v>
      </c>
      <c r="I135" s="6">
        <f t="shared" si="6"/>
        <v>0</v>
      </c>
    </row>
    <row r="136" spans="1:9" ht="12.75">
      <c r="A136" t="s">
        <v>191</v>
      </c>
      <c r="B136" s="2">
        <v>1.75</v>
      </c>
      <c r="D136" s="6">
        <f t="shared" si="5"/>
        <v>0</v>
      </c>
      <c r="F136" s="1"/>
      <c r="H136" s="2">
        <v>82</v>
      </c>
      <c r="I136" s="6">
        <f t="shared" si="6"/>
        <v>0</v>
      </c>
    </row>
    <row r="137" spans="1:9" ht="12.75">
      <c r="A137" t="s">
        <v>192</v>
      </c>
      <c r="B137" s="2">
        <v>0.4</v>
      </c>
      <c r="D137" s="6">
        <f t="shared" si="5"/>
        <v>0</v>
      </c>
      <c r="F137" s="1"/>
      <c r="H137" s="2">
        <v>82</v>
      </c>
      <c r="I137" s="6">
        <f t="shared" si="6"/>
        <v>0</v>
      </c>
    </row>
    <row r="138" spans="2:9" ht="12.75">
      <c r="B138" s="2"/>
      <c r="D138" s="6">
        <f t="shared" si="5"/>
        <v>0</v>
      </c>
      <c r="F138" s="1"/>
      <c r="H138" s="2">
        <v>82</v>
      </c>
      <c r="I138" s="6">
        <f t="shared" si="6"/>
        <v>0</v>
      </c>
    </row>
    <row r="139" spans="2:9" ht="12.75">
      <c r="B139" s="2"/>
      <c r="D139" s="2"/>
      <c r="H139" s="2">
        <v>82</v>
      </c>
      <c r="I139" s="6">
        <f t="shared" si="6"/>
        <v>0</v>
      </c>
    </row>
    <row r="140" spans="1:9" ht="15.75">
      <c r="A140" s="36" t="s">
        <v>170</v>
      </c>
      <c r="B140" s="70"/>
      <c r="C140" s="36"/>
      <c r="D140" s="70">
        <f>SUM(D7:D139)</f>
        <v>14445.060000000003</v>
      </c>
      <c r="E140" s="22"/>
      <c r="F140" s="35" t="s">
        <v>171</v>
      </c>
      <c r="G140" s="35">
        <f>SUM(G3:G139)</f>
        <v>188.5</v>
      </c>
      <c r="H140" s="35"/>
      <c r="I140" s="96"/>
    </row>
    <row r="141" spans="1:9" ht="15.75">
      <c r="A141" s="36" t="s">
        <v>372</v>
      </c>
      <c r="B141" s="70"/>
      <c r="C141" s="36"/>
      <c r="D141" s="70">
        <f>D140*1.05</f>
        <v>15167.313000000004</v>
      </c>
      <c r="E141" s="22"/>
      <c r="F141" s="35"/>
      <c r="G141" s="35"/>
      <c r="H141" s="35"/>
      <c r="I141" s="96"/>
    </row>
    <row r="142" spans="1:9" ht="15.75">
      <c r="A142" s="36" t="s">
        <v>286</v>
      </c>
      <c r="B142" s="70"/>
      <c r="C142" s="36"/>
      <c r="D142" s="70">
        <f>D141*1.27</f>
        <v>19262.487510000006</v>
      </c>
      <c r="E142" s="22"/>
      <c r="F142" s="35" t="s">
        <v>160</v>
      </c>
      <c r="G142" s="35"/>
      <c r="H142" s="35"/>
      <c r="I142" s="96">
        <f>SUM(I3:I139)</f>
        <v>13380.76</v>
      </c>
    </row>
    <row r="143" ht="12.75">
      <c r="D143" s="2"/>
    </row>
    <row r="145" spans="6:9" ht="18">
      <c r="F145" s="108" t="s">
        <v>183</v>
      </c>
      <c r="G145" s="108"/>
      <c r="H145" s="108"/>
      <c r="I145" s="109">
        <f>D142</f>
        <v>19262.487510000006</v>
      </c>
    </row>
    <row r="146" spans="6:9" ht="18">
      <c r="F146" s="110" t="s">
        <v>184</v>
      </c>
      <c r="G146" s="110"/>
      <c r="H146" s="110"/>
      <c r="I146" s="111">
        <f>I142</f>
        <v>13380.76</v>
      </c>
    </row>
    <row r="147" spans="6:9" ht="18">
      <c r="F147" s="112" t="s">
        <v>77</v>
      </c>
      <c r="G147" s="112"/>
      <c r="H147" s="112"/>
      <c r="I147" s="113">
        <f>I145+I146</f>
        <v>32643.24751000001</v>
      </c>
    </row>
    <row r="148" spans="6:9" ht="18">
      <c r="F148" s="88"/>
      <c r="G148" s="88"/>
      <c r="H148" s="88"/>
      <c r="I148" s="88"/>
    </row>
    <row r="149" spans="6:9" ht="18">
      <c r="F149" s="88"/>
      <c r="G149" s="88"/>
      <c r="H149" s="88"/>
      <c r="I149" s="88"/>
    </row>
    <row r="150" spans="6:9" ht="18">
      <c r="F150" s="108" t="s">
        <v>183</v>
      </c>
      <c r="G150" s="108"/>
      <c r="H150" s="108"/>
      <c r="I150" s="109">
        <f>D142</f>
        <v>19262.487510000006</v>
      </c>
    </row>
    <row r="151" spans="6:9" ht="18">
      <c r="F151" s="110" t="s">
        <v>185</v>
      </c>
      <c r="G151" s="110"/>
      <c r="H151" s="110"/>
      <c r="I151" s="114">
        <f>I142*1.1</f>
        <v>14718.836000000001</v>
      </c>
    </row>
    <row r="152" spans="6:9" ht="18">
      <c r="F152" s="115" t="s">
        <v>77</v>
      </c>
      <c r="G152" s="115"/>
      <c r="H152" s="115"/>
      <c r="I152" s="114">
        <f>I150+I151</f>
        <v>33981.32351000001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25">
      <selection activeCell="G50" sqref="G50"/>
    </sheetView>
  </sheetViews>
  <sheetFormatPr defaultColWidth="9.140625" defaultRowHeight="12.75"/>
  <cols>
    <col min="1" max="1" width="20.7109375" style="0" customWidth="1"/>
    <col min="4" max="4" width="12.7109375" style="0" customWidth="1"/>
    <col min="6" max="6" width="15.7109375" style="0" customWidth="1"/>
    <col min="8" max="8" width="10.7109375" style="0" customWidth="1"/>
    <col min="9" max="10" width="14.7109375" style="0" customWidth="1"/>
  </cols>
  <sheetData>
    <row r="1" spans="1:12" ht="18">
      <c r="A1" s="92"/>
      <c r="B1" s="92"/>
      <c r="C1" s="92" t="s">
        <v>186</v>
      </c>
      <c r="D1" s="93"/>
      <c r="E1" s="93"/>
      <c r="F1" s="92" t="s">
        <v>344</v>
      </c>
      <c r="G1" s="93"/>
      <c r="H1" s="93"/>
      <c r="I1" s="93"/>
      <c r="J1" s="31"/>
      <c r="K1" s="31"/>
      <c r="L1" s="92"/>
    </row>
    <row r="2" spans="1:12" ht="18">
      <c r="A2" s="29" t="s">
        <v>203</v>
      </c>
      <c r="B2" s="29" t="s">
        <v>96</v>
      </c>
      <c r="C2" s="29" t="s">
        <v>97</v>
      </c>
      <c r="D2" s="29" t="s">
        <v>98</v>
      </c>
      <c r="E2" s="29"/>
      <c r="F2" s="29" t="s">
        <v>345</v>
      </c>
      <c r="G2" s="29" t="s">
        <v>204</v>
      </c>
      <c r="H2" s="29"/>
      <c r="I2" s="31"/>
      <c r="J2" s="92" t="s">
        <v>202</v>
      </c>
      <c r="K2" s="31"/>
      <c r="L2" s="31"/>
    </row>
    <row r="3" spans="1:12" ht="12.75">
      <c r="A3" t="s">
        <v>99</v>
      </c>
      <c r="B3" s="4">
        <v>22</v>
      </c>
      <c r="C3" s="4">
        <v>19</v>
      </c>
      <c r="D3" s="5">
        <f aca="true" t="shared" si="0" ref="D3:D12">B3*C3</f>
        <v>418</v>
      </c>
      <c r="F3" s="4">
        <v>36</v>
      </c>
      <c r="H3" s="4"/>
      <c r="I3" t="s">
        <v>346</v>
      </c>
      <c r="J3" s="1" t="s">
        <v>205</v>
      </c>
      <c r="K3" s="1"/>
      <c r="L3" s="1"/>
    </row>
    <row r="4" spans="1:12" ht="12.75">
      <c r="A4" t="s">
        <v>347</v>
      </c>
      <c r="B4" s="4">
        <v>22</v>
      </c>
      <c r="C4" s="4">
        <v>19</v>
      </c>
      <c r="D4" s="5">
        <f t="shared" si="0"/>
        <v>418</v>
      </c>
      <c r="H4" s="5">
        <f>H3*2.4</f>
        <v>0</v>
      </c>
      <c r="I4" s="19" t="s">
        <v>100</v>
      </c>
      <c r="J4" s="1" t="s">
        <v>206</v>
      </c>
      <c r="K4" s="1"/>
      <c r="L4" s="1"/>
    </row>
    <row r="5" spans="1:12" ht="12.75">
      <c r="A5" t="s">
        <v>101</v>
      </c>
      <c r="B5" s="4"/>
      <c r="C5" s="4"/>
      <c r="D5" s="5">
        <f t="shared" si="0"/>
        <v>0</v>
      </c>
      <c r="H5" s="5">
        <f>ROUNDUP(H4/3,0)</f>
        <v>0</v>
      </c>
      <c r="I5" s="19" t="s">
        <v>102</v>
      </c>
      <c r="J5" s="1" t="s">
        <v>207</v>
      </c>
      <c r="K5" s="17"/>
      <c r="L5" s="1"/>
    </row>
    <row r="6" spans="1:12" ht="12.75">
      <c r="A6" t="s">
        <v>103</v>
      </c>
      <c r="B6" s="4"/>
      <c r="C6" s="4"/>
      <c r="D6" s="5">
        <f t="shared" si="0"/>
        <v>0</v>
      </c>
      <c r="H6" s="5">
        <f>ROUNDUP(H5/26,0)</f>
        <v>0</v>
      </c>
      <c r="I6" s="19" t="s">
        <v>104</v>
      </c>
      <c r="J6" s="20" t="s">
        <v>348</v>
      </c>
      <c r="K6" s="4"/>
      <c r="L6" s="4"/>
    </row>
    <row r="7" spans="1:12" ht="12.75">
      <c r="A7" t="s">
        <v>105</v>
      </c>
      <c r="B7" s="4"/>
      <c r="C7" s="4"/>
      <c r="D7" s="5">
        <f t="shared" si="0"/>
        <v>0</v>
      </c>
      <c r="H7" s="5">
        <f>H6*33.3</f>
        <v>0</v>
      </c>
      <c r="I7" s="19" t="s">
        <v>106</v>
      </c>
      <c r="J7" s="8" t="s">
        <v>349</v>
      </c>
      <c r="K7" s="5"/>
      <c r="L7" s="5"/>
    </row>
    <row r="8" spans="1:4" ht="12.75">
      <c r="A8" t="s">
        <v>107</v>
      </c>
      <c r="B8" s="4"/>
      <c r="C8" s="4"/>
      <c r="D8" s="5">
        <f t="shared" si="0"/>
        <v>0</v>
      </c>
    </row>
    <row r="9" spans="1:9" ht="12.75">
      <c r="A9" t="s">
        <v>195</v>
      </c>
      <c r="B9" s="4"/>
      <c r="C9" s="4"/>
      <c r="D9" s="5">
        <f t="shared" si="0"/>
        <v>0</v>
      </c>
      <c r="F9" s="1" t="s">
        <v>111</v>
      </c>
      <c r="G9" s="1" t="s">
        <v>108</v>
      </c>
      <c r="H9" s="1" t="s">
        <v>109</v>
      </c>
      <c r="I9" s="1" t="s">
        <v>110</v>
      </c>
    </row>
    <row r="10" spans="1:10" ht="12.75">
      <c r="A10" t="s">
        <v>196</v>
      </c>
      <c r="B10" s="4"/>
      <c r="C10" s="4"/>
      <c r="D10" s="5">
        <f t="shared" si="0"/>
        <v>0</v>
      </c>
      <c r="G10" s="20">
        <v>0</v>
      </c>
      <c r="H10">
        <v>250</v>
      </c>
      <c r="I10" s="5">
        <f>G10*H10*D16</f>
        <v>0</v>
      </c>
      <c r="J10" t="s">
        <v>350</v>
      </c>
    </row>
    <row r="11" spans="1:10" ht="12.75">
      <c r="A11" t="s">
        <v>197</v>
      </c>
      <c r="B11" s="4"/>
      <c r="C11" s="4"/>
      <c r="D11" s="5">
        <f t="shared" si="0"/>
        <v>0</v>
      </c>
      <c r="F11" s="1"/>
      <c r="G11" s="1"/>
      <c r="I11" s="5">
        <f>ROUNDUP(I10/2000,0)</f>
        <v>0</v>
      </c>
      <c r="J11" t="s">
        <v>351</v>
      </c>
    </row>
    <row r="12" spans="1:4" ht="12.75">
      <c r="A12" t="s">
        <v>198</v>
      </c>
      <c r="B12" s="4"/>
      <c r="C12" s="4"/>
      <c r="D12" s="5">
        <f t="shared" si="0"/>
        <v>0</v>
      </c>
    </row>
    <row r="13" spans="1:5" ht="12.75">
      <c r="A13" s="1" t="s">
        <v>208</v>
      </c>
      <c r="B13" s="4"/>
      <c r="C13" s="4"/>
      <c r="D13" s="5">
        <f>SUM(D3:D12)</f>
        <v>836</v>
      </c>
      <c r="E13" s="8">
        <f>ROUNDUP(D13/100,0)</f>
        <v>9</v>
      </c>
    </row>
    <row r="14" spans="1:9" ht="12.75">
      <c r="A14" s="1" t="s">
        <v>209</v>
      </c>
      <c r="B14" s="4"/>
      <c r="C14" s="4"/>
      <c r="D14" s="5">
        <f>F3*1.33</f>
        <v>47.88</v>
      </c>
      <c r="E14" s="8">
        <f>ROUNDUP(F3/33,0)</f>
        <v>2</v>
      </c>
      <c r="F14" s="1" t="s">
        <v>210</v>
      </c>
      <c r="G14" s="1"/>
      <c r="I14" s="9"/>
    </row>
    <row r="15" spans="1:4" ht="12.75">
      <c r="A15" s="1" t="s">
        <v>112</v>
      </c>
      <c r="B15" s="5">
        <f>SUM(B3:B8)</f>
        <v>44</v>
      </c>
      <c r="C15" s="5">
        <f>SUM(C3:C8)</f>
        <v>38</v>
      </c>
      <c r="D15" s="5">
        <f>D13+D14</f>
        <v>883.88</v>
      </c>
    </row>
    <row r="16" spans="1:5" ht="12.75">
      <c r="A16" t="s">
        <v>113</v>
      </c>
      <c r="B16" s="5">
        <f>(E18)+(C40+C41)*10</f>
        <v>74</v>
      </c>
      <c r="D16" s="8">
        <f>ROUNDUP(D15/100,0)</f>
        <v>9</v>
      </c>
      <c r="E16" s="1" t="s">
        <v>211</v>
      </c>
    </row>
    <row r="17" spans="1:10" ht="15.75">
      <c r="A17" t="s">
        <v>114</v>
      </c>
      <c r="B17" s="5">
        <f>ROUNDUP(B16/33,0)</f>
        <v>3</v>
      </c>
      <c r="G17" s="35" t="s">
        <v>160</v>
      </c>
      <c r="H17" s="94"/>
      <c r="I17" s="95"/>
      <c r="J17" s="96">
        <f>I73</f>
        <v>590</v>
      </c>
    </row>
    <row r="18" spans="1:13" ht="15.75">
      <c r="A18" s="1" t="s">
        <v>199</v>
      </c>
      <c r="B18" s="4">
        <v>30</v>
      </c>
      <c r="D18" s="1" t="s">
        <v>212</v>
      </c>
      <c r="E18" s="4">
        <v>44</v>
      </c>
      <c r="G18" s="36" t="s">
        <v>162</v>
      </c>
      <c r="H18" s="97"/>
      <c r="I18" s="98"/>
      <c r="J18" s="70">
        <f>I74</f>
        <v>1305.1804</v>
      </c>
      <c r="M18" s="16"/>
    </row>
    <row r="19" spans="1:13" ht="15.75">
      <c r="A19" s="1" t="s">
        <v>200</v>
      </c>
      <c r="B19" s="4">
        <v>36</v>
      </c>
      <c r="D19" s="1" t="s">
        <v>213</v>
      </c>
      <c r="E19" s="4">
        <v>38</v>
      </c>
      <c r="G19" s="39" t="s">
        <v>161</v>
      </c>
      <c r="H19" s="99">
        <f>G75</f>
        <v>0</v>
      </c>
      <c r="I19" s="100">
        <v>50</v>
      </c>
      <c r="J19" s="101">
        <f>I75</f>
        <v>0</v>
      </c>
      <c r="M19" s="16"/>
    </row>
    <row r="20" spans="1:13" ht="15.75">
      <c r="A20" s="1" t="s">
        <v>352</v>
      </c>
      <c r="B20" s="4">
        <v>2</v>
      </c>
      <c r="G20" s="44" t="s">
        <v>77</v>
      </c>
      <c r="H20" s="102"/>
      <c r="I20" s="103"/>
      <c r="J20" s="104">
        <f>J17+J19+J18</f>
        <v>1895.1804</v>
      </c>
      <c r="M20" s="16"/>
    </row>
    <row r="21" spans="1:13" ht="12.75">
      <c r="A21" s="1" t="s">
        <v>353</v>
      </c>
      <c r="B21" s="4"/>
      <c r="E21" s="9"/>
      <c r="G21" s="17"/>
      <c r="M21" s="16"/>
    </row>
    <row r="22" spans="1:7" ht="12.75">
      <c r="A22" s="1" t="s">
        <v>354</v>
      </c>
      <c r="B22" s="4"/>
      <c r="E22" s="9"/>
      <c r="G22" s="17"/>
    </row>
    <row r="23" spans="1:7" ht="12.75">
      <c r="A23" s="1" t="s">
        <v>355</v>
      </c>
      <c r="B23" s="4"/>
      <c r="E23" s="9"/>
      <c r="G23" s="17"/>
    </row>
    <row r="24" spans="1:7" ht="12.75">
      <c r="A24" s="1" t="s">
        <v>356</v>
      </c>
      <c r="B24" s="4"/>
      <c r="E24" s="9"/>
      <c r="G24" s="17"/>
    </row>
    <row r="25" spans="2:10" ht="12.75">
      <c r="B25" s="9"/>
      <c r="J25" s="17"/>
    </row>
    <row r="26" spans="1:9" ht="15.75">
      <c r="A26" s="22" t="s">
        <v>74</v>
      </c>
      <c r="B26" s="22" t="s">
        <v>75</v>
      </c>
      <c r="C26" s="22" t="s">
        <v>76</v>
      </c>
      <c r="D26" s="22" t="s">
        <v>77</v>
      </c>
      <c r="E26" s="22"/>
      <c r="F26" s="22" t="s">
        <v>78</v>
      </c>
      <c r="G26" s="22"/>
      <c r="H26" s="22" t="s">
        <v>115</v>
      </c>
      <c r="I26" s="22" t="s">
        <v>77</v>
      </c>
    </row>
    <row r="27" spans="1:6" ht="12.75">
      <c r="A27" s="1" t="s">
        <v>116</v>
      </c>
      <c r="B27" s="2">
        <v>59.9</v>
      </c>
      <c r="C27" s="5">
        <f>E13</f>
        <v>9</v>
      </c>
      <c r="D27" s="6">
        <f>B27*C27</f>
        <v>539.1</v>
      </c>
      <c r="F27" s="1" t="s">
        <v>117</v>
      </c>
    </row>
    <row r="28" spans="1:9" ht="12.75">
      <c r="A28" t="s">
        <v>214</v>
      </c>
      <c r="B28" s="2">
        <v>63.57</v>
      </c>
      <c r="D28" s="6">
        <f aca="true" t="shared" si="1" ref="D28:D69">B28*C28</f>
        <v>0</v>
      </c>
      <c r="F28" t="s">
        <v>118</v>
      </c>
      <c r="G28" s="4"/>
      <c r="H28" s="2">
        <v>50</v>
      </c>
      <c r="I28" s="6">
        <f>G28*H28</f>
        <v>0</v>
      </c>
    </row>
    <row r="29" spans="1:9" ht="12.75">
      <c r="A29" t="s">
        <v>357</v>
      </c>
      <c r="B29" s="2">
        <v>38.9</v>
      </c>
      <c r="C29" s="5">
        <f>E14</f>
        <v>2</v>
      </c>
      <c r="D29" s="6">
        <f t="shared" si="1"/>
        <v>77.8</v>
      </c>
      <c r="G29" s="4"/>
      <c r="H29" s="2">
        <v>60</v>
      </c>
      <c r="I29" s="6">
        <f aca="true" t="shared" si="2" ref="I29:I72">G29*H29</f>
        <v>0</v>
      </c>
    </row>
    <row r="30" spans="2:9" ht="12.75">
      <c r="B30" s="2"/>
      <c r="D30" s="6">
        <f t="shared" si="1"/>
        <v>0</v>
      </c>
      <c r="F30" t="s">
        <v>358</v>
      </c>
      <c r="G30" s="4"/>
      <c r="H30" s="2">
        <v>75</v>
      </c>
      <c r="I30" s="6">
        <f t="shared" si="2"/>
        <v>0</v>
      </c>
    </row>
    <row r="31" spans="2:9" ht="12.75">
      <c r="B31" s="2"/>
      <c r="D31" s="6">
        <f t="shared" si="1"/>
        <v>0</v>
      </c>
      <c r="G31" s="4"/>
      <c r="H31" s="2">
        <v>80</v>
      </c>
      <c r="I31" s="6">
        <f t="shared" si="2"/>
        <v>0</v>
      </c>
    </row>
    <row r="32" spans="1:9" ht="12.75">
      <c r="A32" t="s">
        <v>359</v>
      </c>
      <c r="B32" s="2">
        <v>49</v>
      </c>
      <c r="D32" s="6">
        <f t="shared" si="1"/>
        <v>0</v>
      </c>
      <c r="G32" s="4"/>
      <c r="H32" s="2">
        <v>90</v>
      </c>
      <c r="I32" s="6">
        <f t="shared" si="2"/>
        <v>0</v>
      </c>
    </row>
    <row r="33" spans="1:9" ht="12.75">
      <c r="A33" t="s">
        <v>360</v>
      </c>
      <c r="B33" s="2">
        <v>51</v>
      </c>
      <c r="D33" s="6">
        <f t="shared" si="1"/>
        <v>0</v>
      </c>
      <c r="F33" t="s">
        <v>119</v>
      </c>
      <c r="G33" s="4"/>
      <c r="H33" s="2">
        <v>100</v>
      </c>
      <c r="I33" s="6">
        <f t="shared" si="2"/>
        <v>0</v>
      </c>
    </row>
    <row r="34" spans="1:9" ht="12.75">
      <c r="A34" s="1" t="s">
        <v>361</v>
      </c>
      <c r="B34" s="2">
        <v>18.99</v>
      </c>
      <c r="C34" s="5">
        <f>ROUNDUP(E18/80,0)</f>
        <v>1</v>
      </c>
      <c r="D34" s="6">
        <f t="shared" si="1"/>
        <v>18.99</v>
      </c>
      <c r="G34" s="4"/>
      <c r="H34" s="105">
        <v>125</v>
      </c>
      <c r="I34" s="6">
        <f t="shared" si="2"/>
        <v>0</v>
      </c>
    </row>
    <row r="35" spans="1:9" ht="12.75">
      <c r="A35" s="1" t="s">
        <v>362</v>
      </c>
      <c r="B35" s="2">
        <v>24.78</v>
      </c>
      <c r="C35" s="5">
        <f>ROUNDUP(D16/4,0)</f>
        <v>3</v>
      </c>
      <c r="D35" s="6">
        <f t="shared" si="1"/>
        <v>74.34</v>
      </c>
      <c r="F35" t="s">
        <v>120</v>
      </c>
      <c r="G35" s="4"/>
      <c r="H35" s="105">
        <v>150</v>
      </c>
      <c r="I35" s="6">
        <f t="shared" si="2"/>
        <v>0</v>
      </c>
    </row>
    <row r="36" spans="1:9" ht="12.75">
      <c r="A36" t="s">
        <v>363</v>
      </c>
      <c r="B36" s="2">
        <v>15.47</v>
      </c>
      <c r="C36" s="9"/>
      <c r="D36" s="6">
        <f t="shared" si="1"/>
        <v>0</v>
      </c>
      <c r="G36" s="4"/>
      <c r="H36" s="2">
        <v>200</v>
      </c>
      <c r="I36" s="6">
        <f t="shared" si="2"/>
        <v>0</v>
      </c>
    </row>
    <row r="37" spans="1:9" ht="12.75">
      <c r="A37" s="1" t="s">
        <v>121</v>
      </c>
      <c r="B37" s="2">
        <v>5.5</v>
      </c>
      <c r="C37" s="5">
        <f>ROUNDUP(E18/10,0)</f>
        <v>5</v>
      </c>
      <c r="D37" s="6">
        <f t="shared" si="1"/>
        <v>27.5</v>
      </c>
      <c r="G37" s="4"/>
      <c r="H37" s="2"/>
      <c r="I37" s="6">
        <f t="shared" si="2"/>
        <v>0</v>
      </c>
    </row>
    <row r="38" spans="1:9" ht="12.75">
      <c r="A38" s="1" t="s">
        <v>122</v>
      </c>
      <c r="B38" s="2">
        <v>5.75</v>
      </c>
      <c r="C38" s="5">
        <f>ROUNDUP(E19/12,0)</f>
        <v>4</v>
      </c>
      <c r="D38" s="6">
        <f t="shared" si="1"/>
        <v>23</v>
      </c>
      <c r="F38" s="1" t="s">
        <v>124</v>
      </c>
      <c r="G38" s="9"/>
      <c r="H38" s="2"/>
      <c r="I38" s="6">
        <f t="shared" si="2"/>
        <v>0</v>
      </c>
    </row>
    <row r="39" spans="1:9" ht="12.75">
      <c r="A39" t="s">
        <v>123</v>
      </c>
      <c r="B39" s="2">
        <v>5.5</v>
      </c>
      <c r="D39" s="6">
        <f t="shared" si="1"/>
        <v>0</v>
      </c>
      <c r="F39" t="s">
        <v>126</v>
      </c>
      <c r="G39" s="4"/>
      <c r="H39" s="2">
        <v>30</v>
      </c>
      <c r="I39" s="6">
        <f t="shared" si="2"/>
        <v>0</v>
      </c>
    </row>
    <row r="40" spans="1:9" ht="12.75">
      <c r="A40" s="1" t="s">
        <v>125</v>
      </c>
      <c r="B40" s="2">
        <v>19</v>
      </c>
      <c r="C40" s="5">
        <f>ROUNDUP(B18*0.1,0)</f>
        <v>3</v>
      </c>
      <c r="D40" s="6">
        <f t="shared" si="1"/>
        <v>57</v>
      </c>
      <c r="F40" t="s">
        <v>127</v>
      </c>
      <c r="G40" s="4"/>
      <c r="H40" s="2">
        <v>45</v>
      </c>
      <c r="I40" s="6">
        <f t="shared" si="2"/>
        <v>0</v>
      </c>
    </row>
    <row r="41" spans="1:9" ht="12.75">
      <c r="A41" s="1" t="s">
        <v>364</v>
      </c>
      <c r="B41" s="2">
        <v>23.5</v>
      </c>
      <c r="C41" s="4"/>
      <c r="D41" s="6">
        <f t="shared" si="1"/>
        <v>0</v>
      </c>
      <c r="F41" t="s">
        <v>129</v>
      </c>
      <c r="G41" s="4"/>
      <c r="H41" s="2">
        <v>60</v>
      </c>
      <c r="I41" s="6">
        <f t="shared" si="2"/>
        <v>0</v>
      </c>
    </row>
    <row r="42" spans="1:9" ht="12.75">
      <c r="A42" s="1" t="s">
        <v>24</v>
      </c>
      <c r="B42" s="2">
        <v>28.41</v>
      </c>
      <c r="C42" s="5">
        <f>B17</f>
        <v>3</v>
      </c>
      <c r="D42" s="6">
        <f t="shared" si="1"/>
        <v>85.23</v>
      </c>
      <c r="G42" s="4"/>
      <c r="H42" s="2">
        <v>70</v>
      </c>
      <c r="I42" s="6">
        <f t="shared" si="2"/>
        <v>0</v>
      </c>
    </row>
    <row r="43" spans="1:9" ht="12.75">
      <c r="A43" s="1" t="s">
        <v>128</v>
      </c>
      <c r="B43" s="2">
        <v>45</v>
      </c>
      <c r="C43" s="5">
        <f>B21</f>
        <v>0</v>
      </c>
      <c r="D43" s="6">
        <f t="shared" si="1"/>
        <v>0</v>
      </c>
      <c r="G43" s="4"/>
      <c r="H43" s="2">
        <v>80</v>
      </c>
      <c r="I43" s="6">
        <f t="shared" si="2"/>
        <v>0</v>
      </c>
    </row>
    <row r="44" spans="1:9" ht="12.75">
      <c r="A44" s="1" t="s">
        <v>130</v>
      </c>
      <c r="B44" s="2">
        <v>8</v>
      </c>
      <c r="C44" s="5">
        <f>B20</f>
        <v>2</v>
      </c>
      <c r="D44" s="6">
        <f t="shared" si="1"/>
        <v>16</v>
      </c>
      <c r="I44" s="6">
        <f t="shared" si="2"/>
        <v>0</v>
      </c>
    </row>
    <row r="45" spans="1:9" ht="12.75">
      <c r="A45" t="s">
        <v>131</v>
      </c>
      <c r="B45" s="2">
        <v>20</v>
      </c>
      <c r="C45" s="4"/>
      <c r="D45" s="6">
        <f t="shared" si="1"/>
        <v>0</v>
      </c>
      <c r="I45" s="6">
        <f t="shared" si="2"/>
        <v>0</v>
      </c>
    </row>
    <row r="46" spans="1:9" ht="12.75">
      <c r="A46" t="s">
        <v>132</v>
      </c>
      <c r="B46" s="2">
        <v>6.25</v>
      </c>
      <c r="C46" s="4"/>
      <c r="D46" s="6">
        <f t="shared" si="1"/>
        <v>0</v>
      </c>
      <c r="F46" s="1" t="s">
        <v>135</v>
      </c>
      <c r="G46" s="4"/>
      <c r="H46" s="2"/>
      <c r="I46" s="6">
        <f t="shared" si="2"/>
        <v>0</v>
      </c>
    </row>
    <row r="47" spans="1:9" ht="12.75">
      <c r="A47" s="1" t="s">
        <v>133</v>
      </c>
      <c r="B47" s="2">
        <v>2</v>
      </c>
      <c r="C47" s="5">
        <f>D16</f>
        <v>9</v>
      </c>
      <c r="D47" s="6">
        <f t="shared" si="1"/>
        <v>18</v>
      </c>
      <c r="F47" s="1"/>
      <c r="G47" s="4"/>
      <c r="H47" s="2"/>
      <c r="I47" s="6">
        <f t="shared" si="2"/>
        <v>0</v>
      </c>
    </row>
    <row r="48" spans="1:9" ht="12.75">
      <c r="A48" s="1" t="s">
        <v>215</v>
      </c>
      <c r="B48" s="2">
        <v>22.5</v>
      </c>
      <c r="C48" s="4"/>
      <c r="D48" s="6">
        <f t="shared" si="1"/>
        <v>0</v>
      </c>
      <c r="F48" t="s">
        <v>137</v>
      </c>
      <c r="G48" s="4"/>
      <c r="H48" s="2">
        <v>50</v>
      </c>
      <c r="I48" s="6">
        <f t="shared" si="2"/>
        <v>0</v>
      </c>
    </row>
    <row r="49" spans="1:9" ht="12.75">
      <c r="A49" s="1" t="s">
        <v>134</v>
      </c>
      <c r="B49" s="2">
        <v>1</v>
      </c>
      <c r="C49" s="5">
        <f>D16</f>
        <v>9</v>
      </c>
      <c r="D49" s="6">
        <f t="shared" si="1"/>
        <v>9</v>
      </c>
      <c r="F49" t="s">
        <v>139</v>
      </c>
      <c r="G49" s="4">
        <v>9</v>
      </c>
      <c r="H49" s="2">
        <v>60</v>
      </c>
      <c r="I49" s="6">
        <f t="shared" si="2"/>
        <v>540</v>
      </c>
    </row>
    <row r="50" spans="1:9" ht="12.75">
      <c r="A50" t="s">
        <v>216</v>
      </c>
      <c r="B50" s="2">
        <v>50.54</v>
      </c>
      <c r="C50" s="4"/>
      <c r="D50" s="6">
        <f t="shared" si="1"/>
        <v>0</v>
      </c>
      <c r="G50" s="4"/>
      <c r="H50" s="2">
        <v>75</v>
      </c>
      <c r="I50" s="6">
        <f t="shared" si="2"/>
        <v>0</v>
      </c>
    </row>
    <row r="51" spans="1:9" ht="12.75">
      <c r="A51" t="s">
        <v>136</v>
      </c>
      <c r="B51" s="2">
        <v>59</v>
      </c>
      <c r="C51" s="4"/>
      <c r="D51" s="6">
        <f t="shared" si="1"/>
        <v>0</v>
      </c>
      <c r="F51" t="s">
        <v>141</v>
      </c>
      <c r="G51" s="4"/>
      <c r="H51" s="2">
        <v>80</v>
      </c>
      <c r="I51" s="6">
        <f t="shared" si="2"/>
        <v>0</v>
      </c>
    </row>
    <row r="52" spans="1:9" ht="12.75">
      <c r="A52" t="s">
        <v>138</v>
      </c>
      <c r="B52" s="2">
        <v>24.29</v>
      </c>
      <c r="D52" s="6">
        <f t="shared" si="1"/>
        <v>0</v>
      </c>
      <c r="G52" s="4"/>
      <c r="H52" s="2">
        <v>100</v>
      </c>
      <c r="I52" s="6">
        <f t="shared" si="2"/>
        <v>0</v>
      </c>
    </row>
    <row r="53" spans="1:9" ht="12.75">
      <c r="A53" t="s">
        <v>365</v>
      </c>
      <c r="B53" s="2">
        <v>12.44</v>
      </c>
      <c r="D53" s="6">
        <f t="shared" si="1"/>
        <v>0</v>
      </c>
      <c r="G53" s="4"/>
      <c r="H53" s="2">
        <v>125</v>
      </c>
      <c r="I53" s="6">
        <f t="shared" si="2"/>
        <v>0</v>
      </c>
    </row>
    <row r="54" spans="1:9" ht="12.75">
      <c r="A54" t="s">
        <v>140</v>
      </c>
      <c r="B54" s="2">
        <v>0.28</v>
      </c>
      <c r="D54" s="6">
        <f t="shared" si="1"/>
        <v>0</v>
      </c>
      <c r="F54" t="s">
        <v>143</v>
      </c>
      <c r="G54" s="4"/>
      <c r="H54" s="2">
        <v>150</v>
      </c>
      <c r="I54" s="6">
        <f t="shared" si="2"/>
        <v>0</v>
      </c>
    </row>
    <row r="55" spans="1:9" ht="12.75">
      <c r="A55" t="s">
        <v>142</v>
      </c>
      <c r="B55" s="2">
        <v>0.48</v>
      </c>
      <c r="D55" s="6">
        <f t="shared" si="1"/>
        <v>0</v>
      </c>
      <c r="F55" t="s">
        <v>129</v>
      </c>
      <c r="G55" s="4"/>
      <c r="H55" s="2">
        <v>200</v>
      </c>
      <c r="I55" s="6">
        <f t="shared" si="2"/>
        <v>0</v>
      </c>
    </row>
    <row r="56" spans="1:9" ht="12.75">
      <c r="A56" s="1" t="s">
        <v>144</v>
      </c>
      <c r="B56" s="2">
        <v>61.93</v>
      </c>
      <c r="C56" s="5">
        <f>ROUNDUP(B19/20,0)</f>
        <v>2</v>
      </c>
      <c r="D56" s="6">
        <f t="shared" si="1"/>
        <v>123.86</v>
      </c>
      <c r="F56" t="s">
        <v>366</v>
      </c>
      <c r="G56" s="5">
        <f>C56</f>
        <v>2</v>
      </c>
      <c r="H56" s="105">
        <v>25</v>
      </c>
      <c r="I56" s="6">
        <f t="shared" si="2"/>
        <v>50</v>
      </c>
    </row>
    <row r="57" spans="1:9" ht="12.75">
      <c r="A57" s="1" t="s">
        <v>217</v>
      </c>
      <c r="B57" s="2">
        <v>35</v>
      </c>
      <c r="C57" s="4"/>
      <c r="D57" s="6">
        <f t="shared" si="1"/>
        <v>0</v>
      </c>
      <c r="F57" t="s">
        <v>367</v>
      </c>
      <c r="G57" s="5">
        <f>B24</f>
        <v>0</v>
      </c>
      <c r="H57" s="105">
        <v>100</v>
      </c>
      <c r="I57" s="6">
        <f t="shared" si="2"/>
        <v>0</v>
      </c>
    </row>
    <row r="58" spans="1:9" ht="12.75">
      <c r="A58" t="s">
        <v>145</v>
      </c>
      <c r="B58" s="2">
        <v>16.55</v>
      </c>
      <c r="D58" s="6">
        <f t="shared" si="1"/>
        <v>0</v>
      </c>
      <c r="I58" s="6">
        <f t="shared" si="2"/>
        <v>0</v>
      </c>
    </row>
    <row r="59" spans="1:9" ht="12.75">
      <c r="A59" t="s">
        <v>146</v>
      </c>
      <c r="B59" s="2">
        <v>11</v>
      </c>
      <c r="D59" s="6">
        <f t="shared" si="1"/>
        <v>0</v>
      </c>
      <c r="F59" t="s">
        <v>131</v>
      </c>
      <c r="G59" s="5">
        <f>B22</f>
        <v>0</v>
      </c>
      <c r="H59" s="105">
        <v>100</v>
      </c>
      <c r="I59" s="6">
        <f t="shared" si="2"/>
        <v>0</v>
      </c>
    </row>
    <row r="60" spans="1:9" ht="12.75">
      <c r="A60" t="s">
        <v>368</v>
      </c>
      <c r="B60" s="2">
        <v>11</v>
      </c>
      <c r="D60" s="6">
        <f t="shared" si="1"/>
        <v>0</v>
      </c>
      <c r="F60" t="s">
        <v>369</v>
      </c>
      <c r="G60" s="5">
        <f>B23</f>
        <v>0</v>
      </c>
      <c r="H60" s="105">
        <v>75</v>
      </c>
      <c r="I60" s="6">
        <f t="shared" si="2"/>
        <v>0</v>
      </c>
    </row>
    <row r="61" spans="1:9" ht="12.75">
      <c r="A61" t="s">
        <v>147</v>
      </c>
      <c r="B61" s="2">
        <v>25</v>
      </c>
      <c r="D61" s="6">
        <f t="shared" si="1"/>
        <v>0</v>
      </c>
      <c r="F61" t="s">
        <v>148</v>
      </c>
      <c r="G61" s="4"/>
      <c r="H61" s="105">
        <v>100</v>
      </c>
      <c r="I61" s="6">
        <f t="shared" si="2"/>
        <v>0</v>
      </c>
    </row>
    <row r="62" spans="1:9" ht="12.75">
      <c r="A62" t="s">
        <v>149</v>
      </c>
      <c r="B62" s="2">
        <v>6</v>
      </c>
      <c r="D62" s="6">
        <f t="shared" si="1"/>
        <v>0</v>
      </c>
      <c r="G62" s="4"/>
      <c r="H62" s="105">
        <v>100</v>
      </c>
      <c r="I62" s="6">
        <f t="shared" si="2"/>
        <v>0</v>
      </c>
    </row>
    <row r="63" spans="1:9" ht="12.75">
      <c r="A63" t="s">
        <v>150</v>
      </c>
      <c r="B63" s="2">
        <v>5</v>
      </c>
      <c r="D63" s="6">
        <f t="shared" si="1"/>
        <v>0</v>
      </c>
      <c r="G63" s="4"/>
      <c r="H63" s="2">
        <v>100</v>
      </c>
      <c r="I63" s="6">
        <f t="shared" si="2"/>
        <v>0</v>
      </c>
    </row>
    <row r="64" spans="1:9" ht="12.75">
      <c r="A64" t="s">
        <v>151</v>
      </c>
      <c r="B64" s="2">
        <v>0.7</v>
      </c>
      <c r="D64" s="6">
        <f t="shared" si="1"/>
        <v>0</v>
      </c>
      <c r="G64" s="4"/>
      <c r="H64" s="2">
        <v>100</v>
      </c>
      <c r="I64" s="6">
        <f t="shared" si="2"/>
        <v>0</v>
      </c>
    </row>
    <row r="65" spans="1:9" ht="12.75">
      <c r="A65" t="s">
        <v>152</v>
      </c>
      <c r="B65" s="2">
        <v>0.85</v>
      </c>
      <c r="D65" s="6">
        <f t="shared" si="1"/>
        <v>0</v>
      </c>
      <c r="G65" s="4"/>
      <c r="H65" s="2">
        <v>100</v>
      </c>
      <c r="I65" s="6">
        <f t="shared" si="2"/>
        <v>0</v>
      </c>
    </row>
    <row r="66" spans="1:9" ht="12.75">
      <c r="A66" t="s">
        <v>154</v>
      </c>
      <c r="B66" s="2">
        <v>1.35</v>
      </c>
      <c r="D66" s="6">
        <f t="shared" si="1"/>
        <v>0</v>
      </c>
      <c r="G66" s="4"/>
      <c r="H66" s="2">
        <v>100</v>
      </c>
      <c r="I66" s="6">
        <f t="shared" si="2"/>
        <v>0</v>
      </c>
    </row>
    <row r="67" spans="1:9" ht="12.75">
      <c r="A67" t="s">
        <v>156</v>
      </c>
      <c r="B67" s="2">
        <v>0.5</v>
      </c>
      <c r="D67" s="6">
        <f t="shared" si="1"/>
        <v>0</v>
      </c>
      <c r="F67" t="s">
        <v>153</v>
      </c>
      <c r="G67" s="4"/>
      <c r="H67" s="2">
        <v>82</v>
      </c>
      <c r="I67" s="6">
        <f t="shared" si="2"/>
        <v>0</v>
      </c>
    </row>
    <row r="68" spans="1:9" ht="12.75">
      <c r="A68" t="s">
        <v>157</v>
      </c>
      <c r="B68" s="2">
        <v>20</v>
      </c>
      <c r="D68" s="6">
        <f t="shared" si="1"/>
        <v>0</v>
      </c>
      <c r="F68" t="s">
        <v>155</v>
      </c>
      <c r="G68" s="4"/>
      <c r="H68" s="2">
        <v>82</v>
      </c>
      <c r="I68" s="6">
        <f t="shared" si="2"/>
        <v>0</v>
      </c>
    </row>
    <row r="69" spans="1:9" ht="12.75">
      <c r="A69" t="s">
        <v>158</v>
      </c>
      <c r="B69" s="2">
        <v>2</v>
      </c>
      <c r="D69" s="6">
        <f t="shared" si="1"/>
        <v>0</v>
      </c>
      <c r="G69" s="4"/>
      <c r="H69" s="2"/>
      <c r="I69" s="6">
        <f t="shared" si="2"/>
        <v>0</v>
      </c>
    </row>
    <row r="70" spans="2:9" ht="12.75">
      <c r="B70" s="2"/>
      <c r="D70" s="2"/>
      <c r="G70" s="4"/>
      <c r="H70" s="2"/>
      <c r="I70" s="6">
        <f t="shared" si="2"/>
        <v>0</v>
      </c>
    </row>
    <row r="71" spans="1:9" ht="12.75">
      <c r="A71" s="1" t="s">
        <v>77</v>
      </c>
      <c r="B71" s="2"/>
      <c r="D71" s="7">
        <f>SUM(D19:D70)</f>
        <v>1069.82</v>
      </c>
      <c r="F71" t="s">
        <v>159</v>
      </c>
      <c r="G71" s="4"/>
      <c r="H71" s="2">
        <v>3</v>
      </c>
      <c r="I71" s="6">
        <f t="shared" si="2"/>
        <v>0</v>
      </c>
    </row>
    <row r="72" spans="1:9" ht="12.75">
      <c r="A72" t="s">
        <v>370</v>
      </c>
      <c r="B72" s="2"/>
      <c r="D72" s="6">
        <f>D71*0.22</f>
        <v>235.3604</v>
      </c>
      <c r="H72" s="2"/>
      <c r="I72" s="6">
        <f t="shared" si="2"/>
        <v>0</v>
      </c>
    </row>
    <row r="73" spans="1:9" ht="15.75">
      <c r="A73" s="1"/>
      <c r="B73" s="3"/>
      <c r="C73" s="1"/>
      <c r="D73" s="7">
        <f>D71+D72</f>
        <v>1305.1804</v>
      </c>
      <c r="F73" s="35" t="s">
        <v>160</v>
      </c>
      <c r="G73" s="94"/>
      <c r="H73" s="95"/>
      <c r="I73" s="96">
        <f>SUM(I28:I72)</f>
        <v>590</v>
      </c>
    </row>
    <row r="74" spans="6:9" ht="15.75">
      <c r="F74" s="36" t="s">
        <v>162</v>
      </c>
      <c r="G74" s="97"/>
      <c r="H74" s="98"/>
      <c r="I74" s="70">
        <f>D73</f>
        <v>1305.1804</v>
      </c>
    </row>
    <row r="75" spans="6:9" ht="15.75">
      <c r="F75" s="39" t="s">
        <v>161</v>
      </c>
      <c r="G75" s="99">
        <f>I11</f>
        <v>0</v>
      </c>
      <c r="H75" s="100">
        <v>50</v>
      </c>
      <c r="I75" s="101">
        <f>G75*H75</f>
        <v>0</v>
      </c>
    </row>
    <row r="76" spans="6:9" ht="15.75">
      <c r="F76" s="44" t="s">
        <v>77</v>
      </c>
      <c r="G76" s="102"/>
      <c r="H76" s="103"/>
      <c r="I76" s="104">
        <f>I73+I75+I74</f>
        <v>1895.1804</v>
      </c>
    </row>
    <row r="79" spans="6:9" ht="15.75">
      <c r="F79" s="106" t="s">
        <v>371</v>
      </c>
      <c r="G79" s="106"/>
      <c r="H79" s="106"/>
      <c r="I79" s="107">
        <f>'[2]Sheet2'!I51-'[2]Sheet1'!I76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34">
      <selection activeCell="C54" sqref="C54"/>
    </sheetView>
  </sheetViews>
  <sheetFormatPr defaultColWidth="9.140625" defaultRowHeight="12.75"/>
  <cols>
    <col min="1" max="1" width="25.7109375" style="0" customWidth="1"/>
    <col min="2" max="2" width="12.7109375" style="0" customWidth="1"/>
    <col min="4" max="4" width="12.7109375" style="0" customWidth="1"/>
    <col min="5" max="5" width="5.7109375" style="0" customWidth="1"/>
    <col min="6" max="6" width="25.7109375" style="0" customWidth="1"/>
    <col min="9" max="9" width="15.7109375" style="0" customWidth="1"/>
  </cols>
  <sheetData>
    <row r="1" spans="1:9" ht="18">
      <c r="A1" s="89" t="str">
        <f>Data!A6</f>
        <v>Joe Breaktime</v>
      </c>
      <c r="B1" s="89" t="s">
        <v>343</v>
      </c>
      <c r="C1" s="89"/>
      <c r="D1" s="88"/>
      <c r="E1" s="88"/>
      <c r="F1" s="88"/>
      <c r="G1" s="88"/>
      <c r="H1" s="88"/>
      <c r="I1" s="88"/>
    </row>
    <row r="2" spans="1:10" ht="15.75">
      <c r="A2" s="56" t="s">
        <v>74</v>
      </c>
      <c r="B2" s="56" t="s">
        <v>75</v>
      </c>
      <c r="C2" s="56" t="s">
        <v>76</v>
      </c>
      <c r="D2" s="56" t="s">
        <v>77</v>
      </c>
      <c r="E2" s="56"/>
      <c r="F2" s="56" t="s">
        <v>258</v>
      </c>
      <c r="G2" s="56" t="s">
        <v>79</v>
      </c>
      <c r="H2" s="56" t="s">
        <v>80</v>
      </c>
      <c r="I2" s="56" t="s">
        <v>77</v>
      </c>
      <c r="J2" s="9"/>
    </row>
    <row r="3" spans="1:10" ht="15.75">
      <c r="A3" s="56" t="s">
        <v>259</v>
      </c>
      <c r="B3" s="56"/>
      <c r="C3" s="22"/>
      <c r="D3" s="22"/>
      <c r="E3" s="22"/>
      <c r="F3" s="22" t="s">
        <v>227</v>
      </c>
      <c r="G3" s="22">
        <v>1</v>
      </c>
      <c r="H3" s="52">
        <v>82</v>
      </c>
      <c r="I3" s="53">
        <f aca="true" t="shared" si="0" ref="I3:I79">G3*H3</f>
        <v>82</v>
      </c>
      <c r="J3" s="9"/>
    </row>
    <row r="4" spans="3:10" ht="12.75" customHeight="1">
      <c r="C4" s="22"/>
      <c r="D4" s="22"/>
      <c r="E4" s="22"/>
      <c r="F4" s="22" t="s">
        <v>228</v>
      </c>
      <c r="G4" s="22">
        <v>0.5</v>
      </c>
      <c r="H4" s="52">
        <v>82</v>
      </c>
      <c r="I4" s="53">
        <f t="shared" si="0"/>
        <v>41</v>
      </c>
      <c r="J4" s="9"/>
    </row>
    <row r="5" spans="1:10" ht="15.75">
      <c r="A5" s="28" t="s">
        <v>243</v>
      </c>
      <c r="B5" s="28"/>
      <c r="C5" s="22"/>
      <c r="D5" s="22"/>
      <c r="E5" s="22"/>
      <c r="F5" s="28" t="s">
        <v>243</v>
      </c>
      <c r="G5" s="28"/>
      <c r="I5" s="53">
        <f t="shared" si="0"/>
        <v>0</v>
      </c>
      <c r="J5" s="9"/>
    </row>
    <row r="6" spans="1:10" ht="15.75">
      <c r="A6" s="51" t="s">
        <v>257</v>
      </c>
      <c r="B6" s="55">
        <v>4.65</v>
      </c>
      <c r="C6" s="5">
        <f>Data!F13</f>
        <v>80</v>
      </c>
      <c r="D6" s="6">
        <f>B6*C6</f>
        <v>372</v>
      </c>
      <c r="E6" s="22"/>
      <c r="I6" s="53">
        <f t="shared" si="0"/>
        <v>0</v>
      </c>
      <c r="J6" s="9"/>
    </row>
    <row r="7" spans="1:10" ht="12.75">
      <c r="A7" s="23" t="s">
        <v>260</v>
      </c>
      <c r="B7" s="55">
        <v>6.82</v>
      </c>
      <c r="C7" s="5">
        <f>Data!F13</f>
        <v>80</v>
      </c>
      <c r="D7" s="6">
        <f>B7*C7</f>
        <v>545.6</v>
      </c>
      <c r="F7" s="23" t="s">
        <v>260</v>
      </c>
      <c r="G7" s="9">
        <f>C7</f>
        <v>80</v>
      </c>
      <c r="H7" s="54">
        <v>4.58</v>
      </c>
      <c r="I7" s="53">
        <f t="shared" si="0"/>
        <v>366.4</v>
      </c>
      <c r="J7" s="9"/>
    </row>
    <row r="8" spans="1:10" ht="12.75">
      <c r="A8" s="23" t="s">
        <v>1</v>
      </c>
      <c r="B8" s="24">
        <v>30</v>
      </c>
      <c r="D8" s="6">
        <f aca="true" t="shared" si="1" ref="D8:D79">B8*C8</f>
        <v>0</v>
      </c>
      <c r="G8" s="9"/>
      <c r="H8" s="9">
        <v>82</v>
      </c>
      <c r="I8" s="53">
        <f t="shared" si="0"/>
        <v>0</v>
      </c>
      <c r="J8" s="9"/>
    </row>
    <row r="9" spans="1:10" ht="12.75">
      <c r="A9" s="23" t="s">
        <v>291</v>
      </c>
      <c r="B9" s="24">
        <v>0.31</v>
      </c>
      <c r="C9" s="5"/>
      <c r="D9" s="6">
        <f t="shared" si="1"/>
        <v>0</v>
      </c>
      <c r="G9" s="9"/>
      <c r="H9">
        <v>82</v>
      </c>
      <c r="I9" s="53">
        <f t="shared" si="0"/>
        <v>0</v>
      </c>
      <c r="J9" s="9"/>
    </row>
    <row r="10" spans="1:10" ht="12.75">
      <c r="A10" s="23" t="s">
        <v>232</v>
      </c>
      <c r="B10" s="24">
        <v>0.28</v>
      </c>
      <c r="C10" s="5"/>
      <c r="D10" s="6">
        <f t="shared" si="1"/>
        <v>0</v>
      </c>
      <c r="F10" s="9"/>
      <c r="G10" s="9"/>
      <c r="H10">
        <v>82</v>
      </c>
      <c r="I10" s="53">
        <f t="shared" si="0"/>
        <v>0</v>
      </c>
      <c r="J10" s="9"/>
    </row>
    <row r="11" spans="1:10" ht="12.75">
      <c r="A11" s="23" t="s">
        <v>2</v>
      </c>
      <c r="B11" s="55">
        <v>5.65</v>
      </c>
      <c r="C11" s="5">
        <f>Data!F13*Data!B10</f>
        <v>400</v>
      </c>
      <c r="D11" s="6">
        <f t="shared" si="1"/>
        <v>2260</v>
      </c>
      <c r="F11" s="23" t="s">
        <v>2</v>
      </c>
      <c r="G11" s="18">
        <f>C11</f>
        <v>400</v>
      </c>
      <c r="H11" s="54">
        <v>2.4</v>
      </c>
      <c r="I11" s="53">
        <f t="shared" si="0"/>
        <v>960</v>
      </c>
      <c r="J11" s="9"/>
    </row>
    <row r="12" spans="1:10" ht="12.75">
      <c r="A12" s="54" t="s">
        <v>290</v>
      </c>
      <c r="B12" s="24">
        <v>1.95</v>
      </c>
      <c r="C12" s="5"/>
      <c r="D12" s="6">
        <f t="shared" si="1"/>
        <v>0</v>
      </c>
      <c r="H12">
        <v>82</v>
      </c>
      <c r="I12" s="53">
        <f t="shared" si="0"/>
        <v>0</v>
      </c>
      <c r="J12" s="9"/>
    </row>
    <row r="13" spans="1:10" ht="12.75">
      <c r="A13" s="23" t="s">
        <v>233</v>
      </c>
      <c r="B13" s="24">
        <v>33</v>
      </c>
      <c r="C13" s="5">
        <f>ROUNDUP(Data!F13/16,0)</f>
        <v>5</v>
      </c>
      <c r="D13" s="6">
        <f t="shared" si="1"/>
        <v>165</v>
      </c>
      <c r="H13">
        <v>82</v>
      </c>
      <c r="I13" s="53">
        <f t="shared" si="0"/>
        <v>0</v>
      </c>
      <c r="J13" s="9"/>
    </row>
    <row r="14" spans="1:10" ht="12.75">
      <c r="A14" s="23" t="s">
        <v>3</v>
      </c>
      <c r="B14" s="24">
        <v>5.49</v>
      </c>
      <c r="C14" s="5">
        <f>C13</f>
        <v>5</v>
      </c>
      <c r="D14" s="6">
        <f t="shared" si="1"/>
        <v>27.450000000000003</v>
      </c>
      <c r="H14">
        <v>82</v>
      </c>
      <c r="I14" s="53">
        <f t="shared" si="0"/>
        <v>0</v>
      </c>
      <c r="J14" s="9"/>
    </row>
    <row r="15" spans="1:10" ht="15.75">
      <c r="A15" s="27" t="s">
        <v>244</v>
      </c>
      <c r="B15" s="26"/>
      <c r="C15" s="9"/>
      <c r="D15" s="18"/>
      <c r="F15" s="27" t="s">
        <v>244</v>
      </c>
      <c r="G15" s="26"/>
      <c r="I15" s="53">
        <f t="shared" si="0"/>
        <v>0</v>
      </c>
      <c r="J15" s="9"/>
    </row>
    <row r="16" spans="1:10" ht="12.75">
      <c r="A16" s="25" t="s">
        <v>4</v>
      </c>
      <c r="B16" s="26">
        <v>1.49</v>
      </c>
      <c r="C16" s="5">
        <f>ROUNDUP(Data!F13/3,0)</f>
        <v>27</v>
      </c>
      <c r="D16" s="6">
        <f t="shared" si="1"/>
        <v>40.23</v>
      </c>
      <c r="H16">
        <v>82</v>
      </c>
      <c r="I16" s="53">
        <f t="shared" si="0"/>
        <v>0</v>
      </c>
      <c r="J16" s="9"/>
    </row>
    <row r="17" spans="1:10" ht="12.75">
      <c r="A17" s="25" t="s">
        <v>5</v>
      </c>
      <c r="B17" s="26">
        <v>9</v>
      </c>
      <c r="C17" s="5">
        <f>ROUNDUP(Data!F13/50,0)</f>
        <v>2</v>
      </c>
      <c r="D17" s="6">
        <f t="shared" si="1"/>
        <v>18</v>
      </c>
      <c r="H17">
        <v>82</v>
      </c>
      <c r="I17" s="53">
        <f t="shared" si="0"/>
        <v>0</v>
      </c>
      <c r="J17" s="9"/>
    </row>
    <row r="18" spans="1:10" ht="12.75">
      <c r="A18" s="25" t="s">
        <v>261</v>
      </c>
      <c r="B18" s="55">
        <v>1.31</v>
      </c>
      <c r="C18" s="5">
        <f>Data!F13</f>
        <v>80</v>
      </c>
      <c r="D18" s="6">
        <f t="shared" si="1"/>
        <v>104.80000000000001</v>
      </c>
      <c r="F18" s="25" t="s">
        <v>261</v>
      </c>
      <c r="G18">
        <f>C18</f>
        <v>80</v>
      </c>
      <c r="H18" s="54">
        <v>1.24</v>
      </c>
      <c r="I18" s="53">
        <f t="shared" si="0"/>
        <v>99.2</v>
      </c>
      <c r="J18" s="9"/>
    </row>
    <row r="19" spans="1:10" ht="12.75">
      <c r="A19" s="25" t="s">
        <v>294</v>
      </c>
      <c r="B19" s="55">
        <v>1.09</v>
      </c>
      <c r="C19" s="5">
        <f>IF(Data!B12=1,(Data!B11*0.75)*Data!C11,(0))</f>
        <v>0</v>
      </c>
      <c r="D19" s="6">
        <f t="shared" si="1"/>
        <v>0</v>
      </c>
      <c r="F19" s="25" t="s">
        <v>6</v>
      </c>
      <c r="G19">
        <f>C19</f>
        <v>0</v>
      </c>
      <c r="H19" s="54">
        <v>0.8</v>
      </c>
      <c r="I19" s="53">
        <f t="shared" si="0"/>
        <v>0</v>
      </c>
      <c r="J19" s="9"/>
    </row>
    <row r="20" spans="1:10" ht="12.75">
      <c r="A20" s="25" t="s">
        <v>225</v>
      </c>
      <c r="B20" s="55">
        <v>3.24</v>
      </c>
      <c r="C20" s="5">
        <f>Data!B16</f>
        <v>20</v>
      </c>
      <c r="D20" s="6">
        <f t="shared" si="1"/>
        <v>64.80000000000001</v>
      </c>
      <c r="F20" s="25" t="s">
        <v>225</v>
      </c>
      <c r="G20">
        <f>C20</f>
        <v>20</v>
      </c>
      <c r="H20" s="54">
        <v>2.28</v>
      </c>
      <c r="I20" s="53">
        <f t="shared" si="0"/>
        <v>45.599999999999994</v>
      </c>
      <c r="J20" s="9"/>
    </row>
    <row r="21" spans="1:10" ht="12.75">
      <c r="A21" s="25" t="s">
        <v>230</v>
      </c>
      <c r="B21" s="55">
        <v>1.32</v>
      </c>
      <c r="C21" s="5">
        <f>Data!B16/2</f>
        <v>10</v>
      </c>
      <c r="D21" s="6">
        <f t="shared" si="1"/>
        <v>13.200000000000001</v>
      </c>
      <c r="F21" s="25" t="s">
        <v>230</v>
      </c>
      <c r="H21">
        <v>82</v>
      </c>
      <c r="I21" s="53">
        <f t="shared" si="0"/>
        <v>0</v>
      </c>
      <c r="J21" s="9"/>
    </row>
    <row r="22" spans="1:10" ht="12.75">
      <c r="A22" s="25" t="s">
        <v>295</v>
      </c>
      <c r="B22" s="55">
        <v>2.56</v>
      </c>
      <c r="C22" s="5">
        <f>Data!F11</f>
        <v>640</v>
      </c>
      <c r="D22" s="6">
        <f t="shared" si="1"/>
        <v>1638.4</v>
      </c>
      <c r="F22" s="25" t="s">
        <v>295</v>
      </c>
      <c r="G22">
        <f>C22</f>
        <v>640</v>
      </c>
      <c r="H22" s="54">
        <v>1.36</v>
      </c>
      <c r="I22" s="53">
        <f t="shared" si="0"/>
        <v>870.4000000000001</v>
      </c>
      <c r="J22" s="9"/>
    </row>
    <row r="23" spans="1:10" ht="12.75">
      <c r="A23" s="25" t="s">
        <v>317</v>
      </c>
      <c r="B23" s="55"/>
      <c r="C23" s="5"/>
      <c r="D23" s="6"/>
      <c r="F23" s="25"/>
      <c r="H23" s="54"/>
      <c r="I23" s="53">
        <f t="shared" si="0"/>
        <v>0</v>
      </c>
      <c r="J23" s="9"/>
    </row>
    <row r="24" spans="1:10" ht="12.75">
      <c r="A24" s="25" t="s">
        <v>7</v>
      </c>
      <c r="B24" s="26">
        <v>1.76</v>
      </c>
      <c r="C24" s="5">
        <f>Data!F13</f>
        <v>80</v>
      </c>
      <c r="D24" s="6">
        <f t="shared" si="1"/>
        <v>140.8</v>
      </c>
      <c r="F24" s="25" t="s">
        <v>7</v>
      </c>
      <c r="I24" s="53">
        <f t="shared" si="0"/>
        <v>0</v>
      </c>
      <c r="J24" s="9"/>
    </row>
    <row r="25" spans="1:10" ht="12.75">
      <c r="A25" s="25" t="s">
        <v>70</v>
      </c>
      <c r="B25" s="26">
        <v>0.42</v>
      </c>
      <c r="C25" s="5">
        <f>Data!F13</f>
        <v>80</v>
      </c>
      <c r="D25" s="6">
        <f t="shared" si="1"/>
        <v>33.6</v>
      </c>
      <c r="F25" s="25" t="s">
        <v>70</v>
      </c>
      <c r="H25">
        <v>82</v>
      </c>
      <c r="I25" s="53">
        <f t="shared" si="0"/>
        <v>0</v>
      </c>
      <c r="J25" s="9"/>
    </row>
    <row r="26" spans="1:10" ht="12.75">
      <c r="A26" s="25" t="s">
        <v>8</v>
      </c>
      <c r="B26" s="55">
        <v>0.75</v>
      </c>
      <c r="C26" s="5">
        <f>Data!F11</f>
        <v>640</v>
      </c>
      <c r="D26" s="6">
        <f t="shared" si="1"/>
        <v>480</v>
      </c>
      <c r="F26" s="25" t="s">
        <v>8</v>
      </c>
      <c r="G26">
        <f>C26</f>
        <v>640</v>
      </c>
      <c r="H26" s="54">
        <v>0.56</v>
      </c>
      <c r="I26" s="53">
        <f t="shared" si="0"/>
        <v>358.40000000000003</v>
      </c>
      <c r="J26" s="9"/>
    </row>
    <row r="27" spans="1:10" ht="12.75">
      <c r="A27" s="25" t="s">
        <v>236</v>
      </c>
      <c r="B27" s="26">
        <v>13.29</v>
      </c>
      <c r="C27" s="9"/>
      <c r="D27" s="6">
        <f t="shared" si="1"/>
        <v>0</v>
      </c>
      <c r="F27" s="25" t="s">
        <v>236</v>
      </c>
      <c r="I27" s="53">
        <f t="shared" si="0"/>
        <v>0</v>
      </c>
      <c r="J27" s="9"/>
    </row>
    <row r="28" spans="1:10" ht="12.75">
      <c r="A28" s="25" t="s">
        <v>71</v>
      </c>
      <c r="B28" s="55">
        <v>14.9</v>
      </c>
      <c r="C28" s="5">
        <f>C26*0.01</f>
        <v>6.4</v>
      </c>
      <c r="D28" s="6">
        <f t="shared" si="1"/>
        <v>95.36000000000001</v>
      </c>
      <c r="F28" s="25" t="s">
        <v>71</v>
      </c>
      <c r="G28">
        <f>C28</f>
        <v>6.4</v>
      </c>
      <c r="H28" s="54">
        <v>1.49</v>
      </c>
      <c r="I28" s="53">
        <f t="shared" si="0"/>
        <v>9.536</v>
      </c>
      <c r="J28" s="9"/>
    </row>
    <row r="29" spans="1:10" ht="15.75">
      <c r="A29" s="29" t="s">
        <v>245</v>
      </c>
      <c r="B29" s="30"/>
      <c r="C29" s="29" t="s">
        <v>266</v>
      </c>
      <c r="D29" s="30"/>
      <c r="E29" s="31"/>
      <c r="F29" s="29" t="s">
        <v>245</v>
      </c>
      <c r="G29" s="30"/>
      <c r="I29" s="53">
        <f t="shared" si="0"/>
        <v>0</v>
      </c>
      <c r="J29" s="9"/>
    </row>
    <row r="30" spans="1:10" ht="12.75">
      <c r="A30" s="31" t="s">
        <v>262</v>
      </c>
      <c r="B30" s="55">
        <v>4.03</v>
      </c>
      <c r="C30">
        <f>Data!F18</f>
        <v>40</v>
      </c>
      <c r="D30" s="6">
        <f t="shared" si="1"/>
        <v>161.20000000000002</v>
      </c>
      <c r="F30" s="31" t="s">
        <v>9</v>
      </c>
      <c r="G30">
        <f>C30</f>
        <v>40</v>
      </c>
      <c r="H30">
        <v>4.48</v>
      </c>
      <c r="I30" s="53">
        <f t="shared" si="0"/>
        <v>179.20000000000002</v>
      </c>
      <c r="J30" s="9"/>
    </row>
    <row r="31" spans="1:10" ht="12.75">
      <c r="A31" s="31" t="s">
        <v>10</v>
      </c>
      <c r="B31" s="55">
        <v>4.63</v>
      </c>
      <c r="D31" s="6">
        <f t="shared" si="1"/>
        <v>0</v>
      </c>
      <c r="F31" s="31" t="s">
        <v>10</v>
      </c>
      <c r="H31">
        <v>4.48</v>
      </c>
      <c r="I31" s="53">
        <f t="shared" si="0"/>
        <v>0</v>
      </c>
      <c r="J31" s="9"/>
    </row>
    <row r="32" spans="1:10" ht="12.75">
      <c r="A32" s="31" t="s">
        <v>11</v>
      </c>
      <c r="B32" s="30">
        <v>0.28</v>
      </c>
      <c r="D32" s="6">
        <f t="shared" si="1"/>
        <v>0</v>
      </c>
      <c r="F32" s="31" t="s">
        <v>11</v>
      </c>
      <c r="H32">
        <v>82</v>
      </c>
      <c r="I32" s="53">
        <f t="shared" si="0"/>
        <v>0</v>
      </c>
      <c r="J32" s="9"/>
    </row>
    <row r="33" spans="1:10" ht="12.75">
      <c r="A33" s="31" t="s">
        <v>263</v>
      </c>
      <c r="B33" s="55">
        <v>5.42</v>
      </c>
      <c r="C33" s="5">
        <f>Data!F13</f>
        <v>80</v>
      </c>
      <c r="D33" s="6">
        <f t="shared" si="1"/>
        <v>433.6</v>
      </c>
      <c r="F33" s="31" t="s">
        <v>263</v>
      </c>
      <c r="G33">
        <f>C33</f>
        <v>80</v>
      </c>
      <c r="H33" s="54">
        <v>4.8</v>
      </c>
      <c r="I33" s="53">
        <f t="shared" si="0"/>
        <v>384</v>
      </c>
      <c r="J33" s="9"/>
    </row>
    <row r="34" spans="1:10" ht="12.75">
      <c r="A34" s="31" t="s">
        <v>264</v>
      </c>
      <c r="B34" s="55">
        <v>6.03</v>
      </c>
      <c r="D34" s="6">
        <f t="shared" si="1"/>
        <v>0</v>
      </c>
      <c r="F34" s="31" t="s">
        <v>13</v>
      </c>
      <c r="H34" s="54">
        <v>4.8</v>
      </c>
      <c r="I34" s="53">
        <f t="shared" si="0"/>
        <v>0</v>
      </c>
      <c r="J34" s="9"/>
    </row>
    <row r="35" spans="1:10" ht="12.75">
      <c r="A35" s="31" t="s">
        <v>14</v>
      </c>
      <c r="B35" s="30">
        <v>0.47</v>
      </c>
      <c r="C35" s="5"/>
      <c r="D35" s="6">
        <f t="shared" si="1"/>
        <v>0</v>
      </c>
      <c r="F35" s="31" t="s">
        <v>14</v>
      </c>
      <c r="H35">
        <v>82</v>
      </c>
      <c r="I35" s="53">
        <f t="shared" si="0"/>
        <v>0</v>
      </c>
      <c r="J35" s="9"/>
    </row>
    <row r="36" spans="1:10" ht="12.75">
      <c r="A36" s="31" t="s">
        <v>265</v>
      </c>
      <c r="B36" s="55">
        <v>17.54</v>
      </c>
      <c r="C36">
        <f>Data!B17</f>
        <v>4</v>
      </c>
      <c r="D36" s="6">
        <f t="shared" si="1"/>
        <v>70.16</v>
      </c>
      <c r="F36" s="31" t="s">
        <v>265</v>
      </c>
      <c r="G36">
        <f>C36</f>
        <v>4</v>
      </c>
      <c r="H36" s="54">
        <v>48.4</v>
      </c>
      <c r="I36" s="53">
        <f t="shared" si="0"/>
        <v>193.6</v>
      </c>
      <c r="J36" s="9"/>
    </row>
    <row r="37" spans="1:10" ht="12.75">
      <c r="A37" s="31" t="s">
        <v>16</v>
      </c>
      <c r="B37" s="30">
        <v>4.68</v>
      </c>
      <c r="D37" s="6">
        <f t="shared" si="1"/>
        <v>0</v>
      </c>
      <c r="F37" s="31" t="s">
        <v>16</v>
      </c>
      <c r="H37">
        <v>82</v>
      </c>
      <c r="I37" s="53">
        <f t="shared" si="0"/>
        <v>0</v>
      </c>
      <c r="J37" s="9"/>
    </row>
    <row r="38" spans="1:10" ht="12.75">
      <c r="A38" s="31" t="s">
        <v>268</v>
      </c>
      <c r="B38" s="55">
        <v>0.28</v>
      </c>
      <c r="C38" s="5">
        <f>Data!F15</f>
        <v>720</v>
      </c>
      <c r="D38" s="6">
        <f t="shared" si="1"/>
        <v>201.60000000000002</v>
      </c>
      <c r="F38" s="31" t="s">
        <v>17</v>
      </c>
      <c r="G38">
        <f>C38</f>
        <v>720</v>
      </c>
      <c r="H38" s="54">
        <v>0.6</v>
      </c>
      <c r="I38" s="53">
        <f t="shared" si="0"/>
        <v>432</v>
      </c>
      <c r="J38" s="9"/>
    </row>
    <row r="39" spans="1:10" ht="12.75">
      <c r="A39" s="31" t="s">
        <v>188</v>
      </c>
      <c r="B39" s="30">
        <v>13.03</v>
      </c>
      <c r="C39" s="9"/>
      <c r="D39" s="6">
        <f t="shared" si="1"/>
        <v>0</v>
      </c>
      <c r="F39" s="31" t="s">
        <v>188</v>
      </c>
      <c r="H39">
        <v>82</v>
      </c>
      <c r="I39" s="53">
        <f t="shared" si="0"/>
        <v>0</v>
      </c>
      <c r="J39" s="9"/>
    </row>
    <row r="40" spans="1:10" ht="12.75">
      <c r="A40" s="31" t="s">
        <v>187</v>
      </c>
      <c r="B40" s="30">
        <v>19.85</v>
      </c>
      <c r="C40" s="9"/>
      <c r="D40" s="6">
        <f t="shared" si="1"/>
        <v>0</v>
      </c>
      <c r="F40" s="31" t="s">
        <v>187</v>
      </c>
      <c r="H40">
        <v>82</v>
      </c>
      <c r="I40" s="53">
        <f t="shared" si="0"/>
        <v>0</v>
      </c>
      <c r="J40" s="9"/>
    </row>
    <row r="41" spans="1:10" ht="12.75">
      <c r="A41" s="31" t="s">
        <v>18</v>
      </c>
      <c r="B41" s="30">
        <v>115.37</v>
      </c>
      <c r="C41" s="5">
        <f>ROUNDUP(Data!F13*0.01,0)</f>
        <v>1</v>
      </c>
      <c r="D41" s="6">
        <f t="shared" si="1"/>
        <v>115.37</v>
      </c>
      <c r="F41" s="31" t="s">
        <v>18</v>
      </c>
      <c r="G41">
        <f>C38</f>
        <v>720</v>
      </c>
      <c r="H41" s="54">
        <v>0.2</v>
      </c>
      <c r="I41" s="53">
        <f t="shared" si="0"/>
        <v>144</v>
      </c>
      <c r="J41" s="9"/>
    </row>
    <row r="42" spans="1:10" ht="12.75">
      <c r="A42" s="31" t="s">
        <v>246</v>
      </c>
      <c r="B42" s="30">
        <v>15</v>
      </c>
      <c r="C42" s="5">
        <f>C41</f>
        <v>1</v>
      </c>
      <c r="D42" s="6">
        <f t="shared" si="1"/>
        <v>15</v>
      </c>
      <c r="F42" s="31" t="s">
        <v>246</v>
      </c>
      <c r="H42">
        <v>82</v>
      </c>
      <c r="I42" s="53">
        <f t="shared" si="0"/>
        <v>0</v>
      </c>
      <c r="J42" s="9"/>
    </row>
    <row r="43" spans="1:10" ht="12.75">
      <c r="A43" s="31" t="s">
        <v>19</v>
      </c>
      <c r="B43" s="30">
        <v>4.23</v>
      </c>
      <c r="C43" s="5">
        <f>ROUNDUP(Data!F13/10,0)</f>
        <v>8</v>
      </c>
      <c r="D43" s="6">
        <f t="shared" si="1"/>
        <v>33.84</v>
      </c>
      <c r="F43" s="31" t="s">
        <v>19</v>
      </c>
      <c r="G43">
        <f>C38</f>
        <v>720</v>
      </c>
      <c r="H43" s="54">
        <v>0.1</v>
      </c>
      <c r="I43" s="53">
        <f t="shared" si="0"/>
        <v>72</v>
      </c>
      <c r="J43" s="9"/>
    </row>
    <row r="44" spans="1:10" ht="15.75">
      <c r="A44" s="32" t="s">
        <v>247</v>
      </c>
      <c r="B44" s="33"/>
      <c r="C44" s="9"/>
      <c r="D44" s="18"/>
      <c r="F44" s="32" t="s">
        <v>247</v>
      </c>
      <c r="G44" s="33"/>
      <c r="H44">
        <v>82</v>
      </c>
      <c r="I44" s="53">
        <f t="shared" si="0"/>
        <v>0</v>
      </c>
      <c r="J44" s="9"/>
    </row>
    <row r="45" spans="1:10" ht="12.75">
      <c r="A45" s="34" t="s">
        <v>72</v>
      </c>
      <c r="B45" s="33">
        <v>2.12</v>
      </c>
      <c r="C45" s="5">
        <f>'Roofing '!D13</f>
        <v>836</v>
      </c>
      <c r="D45" s="6">
        <f t="shared" si="1"/>
        <v>1772.3200000000002</v>
      </c>
      <c r="F45" s="34" t="s">
        <v>72</v>
      </c>
      <c r="G45">
        <f>C45</f>
        <v>836</v>
      </c>
      <c r="H45">
        <v>1.04</v>
      </c>
      <c r="I45" s="53">
        <f t="shared" si="0"/>
        <v>869.44</v>
      </c>
      <c r="J45" s="9"/>
    </row>
    <row r="46" spans="1:10" ht="12.75">
      <c r="A46" s="34" t="s">
        <v>73</v>
      </c>
      <c r="B46" s="33">
        <v>1.25</v>
      </c>
      <c r="D46" s="6">
        <f t="shared" si="1"/>
        <v>0</v>
      </c>
      <c r="F46" s="34" t="s">
        <v>73</v>
      </c>
      <c r="H46">
        <v>82</v>
      </c>
      <c r="I46" s="53">
        <f t="shared" si="0"/>
        <v>0</v>
      </c>
      <c r="J46" s="9"/>
    </row>
    <row r="47" spans="1:10" ht="12.75">
      <c r="A47" s="34" t="s">
        <v>22</v>
      </c>
      <c r="B47" s="33">
        <v>0.47</v>
      </c>
      <c r="C47" s="5">
        <f>Data!F24+Data!F25</f>
        <v>82</v>
      </c>
      <c r="D47" s="6">
        <f t="shared" si="1"/>
        <v>38.54</v>
      </c>
      <c r="F47" s="34" t="s">
        <v>22</v>
      </c>
      <c r="H47">
        <v>82</v>
      </c>
      <c r="I47" s="53">
        <f t="shared" si="0"/>
        <v>0</v>
      </c>
      <c r="J47" s="9"/>
    </row>
    <row r="48" spans="1:10" ht="12.75">
      <c r="A48" s="34" t="s">
        <v>21</v>
      </c>
      <c r="B48" s="33">
        <v>0.28</v>
      </c>
      <c r="C48" s="5">
        <f>(Data!F25/2)*4</f>
        <v>76</v>
      </c>
      <c r="D48" s="6">
        <f t="shared" si="1"/>
        <v>21.28</v>
      </c>
      <c r="F48" s="34" t="s">
        <v>21</v>
      </c>
      <c r="H48">
        <v>82</v>
      </c>
      <c r="I48" s="53">
        <f t="shared" si="0"/>
        <v>0</v>
      </c>
      <c r="J48" s="9"/>
    </row>
    <row r="49" spans="1:10" ht="12.75">
      <c r="A49" s="34" t="s">
        <v>296</v>
      </c>
      <c r="B49" s="33">
        <v>0.47</v>
      </c>
      <c r="C49" s="4"/>
      <c r="D49" s="6">
        <f t="shared" si="1"/>
        <v>0</v>
      </c>
      <c r="F49" s="34" t="s">
        <v>20</v>
      </c>
      <c r="H49">
        <v>82</v>
      </c>
      <c r="I49" s="53">
        <f t="shared" si="0"/>
        <v>0</v>
      </c>
      <c r="J49" s="9"/>
    </row>
    <row r="50" spans="1:10" ht="12.75">
      <c r="A50" s="34" t="s">
        <v>23</v>
      </c>
      <c r="B50" s="55">
        <v>0.62</v>
      </c>
      <c r="C50" s="5">
        <f>Data!F29</f>
        <v>965</v>
      </c>
      <c r="D50" s="6">
        <f t="shared" si="1"/>
        <v>598.3</v>
      </c>
      <c r="F50" s="34" t="s">
        <v>23</v>
      </c>
      <c r="G50">
        <f>C50</f>
        <v>965</v>
      </c>
      <c r="H50" s="54">
        <v>0.52</v>
      </c>
      <c r="I50" s="53">
        <f t="shared" si="0"/>
        <v>501.8</v>
      </c>
      <c r="J50" s="9"/>
    </row>
    <row r="51" spans="1:10" ht="12.75">
      <c r="A51" s="34" t="s">
        <v>237</v>
      </c>
      <c r="B51" s="33">
        <v>11.01</v>
      </c>
      <c r="C51" s="9"/>
      <c r="D51" s="6"/>
      <c r="F51" s="34" t="s">
        <v>237</v>
      </c>
      <c r="H51">
        <v>82</v>
      </c>
      <c r="I51" s="53">
        <f t="shared" si="0"/>
        <v>0</v>
      </c>
      <c r="J51" s="9"/>
    </row>
    <row r="52" spans="1:10" ht="12.75">
      <c r="A52" s="34" t="s">
        <v>238</v>
      </c>
      <c r="B52" s="33">
        <v>0.07</v>
      </c>
      <c r="C52" s="9"/>
      <c r="D52" s="6"/>
      <c r="F52" s="34" t="s">
        <v>238</v>
      </c>
      <c r="H52">
        <v>82</v>
      </c>
      <c r="I52" s="53">
        <f t="shared" si="0"/>
        <v>0</v>
      </c>
      <c r="J52" s="9"/>
    </row>
    <row r="53" spans="1:10" ht="15.75">
      <c r="A53" s="32" t="s">
        <v>135</v>
      </c>
      <c r="B53" s="63">
        <v>74.19</v>
      </c>
      <c r="C53">
        <f>'Roofing '!D16</f>
        <v>9</v>
      </c>
      <c r="D53" s="6">
        <f>B53*C53</f>
        <v>667.71</v>
      </c>
      <c r="F53" s="42" t="s">
        <v>81</v>
      </c>
      <c r="G53" s="4">
        <f>'Roofing '!D16</f>
        <v>9</v>
      </c>
      <c r="H53" s="54">
        <v>121.2</v>
      </c>
      <c r="I53" s="53">
        <f t="shared" si="0"/>
        <v>1090.8</v>
      </c>
      <c r="J53" s="9"/>
    </row>
    <row r="54" spans="1:10" ht="15.75">
      <c r="A54" s="50" t="s">
        <v>256</v>
      </c>
      <c r="B54" s="38"/>
      <c r="C54" s="10"/>
      <c r="D54" s="6"/>
      <c r="F54" s="50" t="s">
        <v>256</v>
      </c>
      <c r="G54" s="38"/>
      <c r="I54" s="53">
        <f t="shared" si="0"/>
        <v>0</v>
      </c>
      <c r="J54" s="9"/>
    </row>
    <row r="55" spans="1:10" ht="12.75">
      <c r="A55" s="37" t="s">
        <v>25</v>
      </c>
      <c r="B55" s="38">
        <v>61.93</v>
      </c>
      <c r="C55" s="9"/>
      <c r="D55" s="6">
        <f t="shared" si="1"/>
        <v>0</v>
      </c>
      <c r="E55" s="9"/>
      <c r="F55" s="9"/>
      <c r="G55" s="9"/>
      <c r="H55">
        <v>82</v>
      </c>
      <c r="I55" s="53">
        <f t="shared" si="0"/>
        <v>0</v>
      </c>
      <c r="J55" s="9"/>
    </row>
    <row r="56" spans="1:10" ht="12.75">
      <c r="A56" s="37" t="s">
        <v>239</v>
      </c>
      <c r="B56" s="38">
        <v>1.88</v>
      </c>
      <c r="C56" s="5">
        <f>Data!F24+Data!F25</f>
        <v>82</v>
      </c>
      <c r="D56" s="6">
        <f t="shared" si="1"/>
        <v>154.16</v>
      </c>
      <c r="F56" s="37" t="s">
        <v>239</v>
      </c>
      <c r="G56">
        <f>C56</f>
        <v>82</v>
      </c>
      <c r="H56">
        <v>1.36</v>
      </c>
      <c r="I56" s="53">
        <f t="shared" si="0"/>
        <v>111.52000000000001</v>
      </c>
      <c r="J56" s="9"/>
    </row>
    <row r="57" spans="1:10" ht="12.75">
      <c r="A57" s="37" t="s">
        <v>26</v>
      </c>
      <c r="B57" s="38">
        <v>3.19</v>
      </c>
      <c r="C57" s="5">
        <f>C47*Data!B26</f>
        <v>164</v>
      </c>
      <c r="D57" s="6">
        <f t="shared" si="1"/>
        <v>523.16</v>
      </c>
      <c r="F57" s="37" t="s">
        <v>26</v>
      </c>
      <c r="G57">
        <f>C57</f>
        <v>164</v>
      </c>
      <c r="H57">
        <v>1.96</v>
      </c>
      <c r="I57" s="53">
        <f t="shared" si="0"/>
        <v>321.44</v>
      </c>
      <c r="J57" s="9"/>
    </row>
    <row r="58" spans="1:10" ht="12.75">
      <c r="A58" s="37" t="s">
        <v>27</v>
      </c>
      <c r="B58" s="38">
        <v>0.58</v>
      </c>
      <c r="C58" s="5">
        <f>ROUNDUP(C47/12,0)</f>
        <v>7</v>
      </c>
      <c r="D58" s="6">
        <f t="shared" si="1"/>
        <v>4.06</v>
      </c>
      <c r="H58">
        <v>82</v>
      </c>
      <c r="I58" s="53">
        <f t="shared" si="0"/>
        <v>0</v>
      </c>
      <c r="J58" s="9"/>
    </row>
    <row r="59" spans="1:10" ht="15.75">
      <c r="A59" s="39" t="s">
        <v>249</v>
      </c>
      <c r="B59" s="40"/>
      <c r="D59" s="18"/>
      <c r="F59" s="39" t="s">
        <v>249</v>
      </c>
      <c r="G59" s="40"/>
      <c r="I59" s="53">
        <f aca="true" t="shared" si="2" ref="I59:I71">G59*H59</f>
        <v>0</v>
      </c>
      <c r="J59" s="9"/>
    </row>
    <row r="60" spans="1:10" ht="12.75">
      <c r="A60" s="41" t="s">
        <v>226</v>
      </c>
      <c r="B60" s="40">
        <v>44.1</v>
      </c>
      <c r="C60" s="5">
        <f>Data!F32</f>
        <v>64</v>
      </c>
      <c r="D60" s="6">
        <f aca="true" t="shared" si="3" ref="D60:D71">B60*C60</f>
        <v>2822.4</v>
      </c>
      <c r="F60" s="4" t="s">
        <v>226</v>
      </c>
      <c r="G60" s="5">
        <f>C60</f>
        <v>64</v>
      </c>
      <c r="H60" s="4">
        <v>40.34</v>
      </c>
      <c r="I60" s="53">
        <f t="shared" si="2"/>
        <v>2581.76</v>
      </c>
      <c r="J60" s="9"/>
    </row>
    <row r="61" spans="1:10" ht="12.75">
      <c r="A61" s="41" t="s">
        <v>33</v>
      </c>
      <c r="B61" s="40">
        <v>1405</v>
      </c>
      <c r="D61" s="6">
        <f t="shared" si="3"/>
        <v>0</v>
      </c>
      <c r="H61">
        <v>82</v>
      </c>
      <c r="I61" s="53">
        <f t="shared" si="2"/>
        <v>0</v>
      </c>
      <c r="J61" s="9"/>
    </row>
    <row r="62" spans="1:10" ht="12.75">
      <c r="A62" s="41" t="s">
        <v>34</v>
      </c>
      <c r="B62" s="40">
        <v>478</v>
      </c>
      <c r="D62" s="6">
        <f t="shared" si="3"/>
        <v>0</v>
      </c>
      <c r="H62">
        <v>82</v>
      </c>
      <c r="I62" s="53">
        <f t="shared" si="2"/>
        <v>0</v>
      </c>
      <c r="J62" s="9"/>
    </row>
    <row r="63" spans="1:10" ht="12.75">
      <c r="A63" s="41" t="s">
        <v>35</v>
      </c>
      <c r="B63" s="40">
        <v>285</v>
      </c>
      <c r="D63" s="6">
        <f t="shared" si="3"/>
        <v>0</v>
      </c>
      <c r="H63">
        <v>82</v>
      </c>
      <c r="I63" s="53">
        <f t="shared" si="2"/>
        <v>0</v>
      </c>
      <c r="J63" s="9"/>
    </row>
    <row r="64" spans="1:10" ht="12.75">
      <c r="A64" s="41" t="s">
        <v>36</v>
      </c>
      <c r="B64" s="40">
        <v>301</v>
      </c>
      <c r="D64" s="6">
        <f t="shared" si="3"/>
        <v>0</v>
      </c>
      <c r="H64">
        <v>82</v>
      </c>
      <c r="I64" s="53">
        <f t="shared" si="2"/>
        <v>0</v>
      </c>
      <c r="J64" s="9"/>
    </row>
    <row r="65" spans="1:10" ht="12.75">
      <c r="A65" s="41" t="s">
        <v>242</v>
      </c>
      <c r="B65" s="40">
        <v>950</v>
      </c>
      <c r="D65" s="6">
        <f t="shared" si="3"/>
        <v>0</v>
      </c>
      <c r="F65" t="s">
        <v>242</v>
      </c>
      <c r="H65">
        <v>1000</v>
      </c>
      <c r="I65" s="53">
        <f t="shared" si="2"/>
        <v>0</v>
      </c>
      <c r="J65" s="9"/>
    </row>
    <row r="66" spans="1:10" ht="12.75">
      <c r="A66" s="41" t="s">
        <v>201</v>
      </c>
      <c r="B66" s="40">
        <v>20</v>
      </c>
      <c r="D66" s="6">
        <f t="shared" si="3"/>
        <v>0</v>
      </c>
      <c r="H66">
        <v>82</v>
      </c>
      <c r="I66" s="53">
        <f t="shared" si="2"/>
        <v>0</v>
      </c>
      <c r="J66" s="9"/>
    </row>
    <row r="67" spans="1:10" ht="12.75">
      <c r="A67" s="41" t="s">
        <v>37</v>
      </c>
      <c r="B67" s="40">
        <v>138</v>
      </c>
      <c r="D67" s="6">
        <f t="shared" si="3"/>
        <v>0</v>
      </c>
      <c r="H67">
        <v>82</v>
      </c>
      <c r="I67" s="53">
        <f t="shared" si="2"/>
        <v>0</v>
      </c>
      <c r="J67" s="9"/>
    </row>
    <row r="68" spans="1:10" ht="12.75">
      <c r="A68" s="41" t="s">
        <v>38</v>
      </c>
      <c r="B68" s="40">
        <v>630</v>
      </c>
      <c r="D68" s="6">
        <f t="shared" si="3"/>
        <v>0</v>
      </c>
      <c r="H68">
        <v>82</v>
      </c>
      <c r="I68" s="53">
        <f t="shared" si="2"/>
        <v>0</v>
      </c>
      <c r="J68" s="9"/>
    </row>
    <row r="69" spans="1:10" ht="12.75">
      <c r="A69" s="41" t="s">
        <v>83</v>
      </c>
      <c r="B69" s="40">
        <v>825</v>
      </c>
      <c r="D69" s="6">
        <f t="shared" si="3"/>
        <v>0</v>
      </c>
      <c r="H69">
        <v>82</v>
      </c>
      <c r="I69" s="53">
        <f t="shared" si="2"/>
        <v>0</v>
      </c>
      <c r="J69" s="9"/>
    </row>
    <row r="70" spans="1:10" ht="12.75">
      <c r="A70" s="41" t="s">
        <v>250</v>
      </c>
      <c r="B70" s="40">
        <v>30</v>
      </c>
      <c r="D70" s="6">
        <f t="shared" si="3"/>
        <v>0</v>
      </c>
      <c r="H70">
        <v>82</v>
      </c>
      <c r="I70" s="53">
        <f t="shared" si="2"/>
        <v>0</v>
      </c>
      <c r="J70" s="9"/>
    </row>
    <row r="71" spans="1:10" ht="12.75">
      <c r="A71" s="41" t="s">
        <v>251</v>
      </c>
      <c r="B71" s="40">
        <v>30</v>
      </c>
      <c r="D71" s="6">
        <f t="shared" si="3"/>
        <v>0</v>
      </c>
      <c r="H71">
        <v>82</v>
      </c>
      <c r="I71" s="53">
        <f t="shared" si="2"/>
        <v>0</v>
      </c>
      <c r="J71" s="9"/>
    </row>
    <row r="72" spans="1:10" ht="15.75">
      <c r="A72" s="35" t="s">
        <v>248</v>
      </c>
      <c r="B72" s="12"/>
      <c r="C72" s="9"/>
      <c r="D72" s="18"/>
      <c r="F72" s="35" t="s">
        <v>248</v>
      </c>
      <c r="G72" s="12"/>
      <c r="I72" s="53">
        <f t="shared" si="0"/>
        <v>0</v>
      </c>
      <c r="J72" s="9"/>
    </row>
    <row r="73" spans="1:10" ht="12.75">
      <c r="A73" s="11" t="s">
        <v>28</v>
      </c>
      <c r="B73" s="12">
        <v>72</v>
      </c>
      <c r="C73" s="5">
        <f>ROUNDUP(Data!F31*0.01,0)</f>
        <v>9</v>
      </c>
      <c r="D73" s="6">
        <f t="shared" si="1"/>
        <v>648</v>
      </c>
      <c r="H73">
        <v>82</v>
      </c>
      <c r="I73" s="53">
        <f t="shared" si="0"/>
        <v>0</v>
      </c>
      <c r="J73" s="9"/>
    </row>
    <row r="74" spans="1:10" ht="12.75">
      <c r="A74" s="11" t="s">
        <v>29</v>
      </c>
      <c r="B74" s="12"/>
      <c r="D74" s="6">
        <f t="shared" si="1"/>
        <v>0</v>
      </c>
      <c r="H74">
        <v>82</v>
      </c>
      <c r="I74" s="53">
        <f t="shared" si="0"/>
        <v>0</v>
      </c>
      <c r="J74" s="9"/>
    </row>
    <row r="75" spans="1:10" ht="12.75">
      <c r="A75" s="11" t="s">
        <v>30</v>
      </c>
      <c r="B75" s="12">
        <v>0.43</v>
      </c>
      <c r="D75" s="6">
        <f t="shared" si="1"/>
        <v>0</v>
      </c>
      <c r="H75">
        <v>82</v>
      </c>
      <c r="I75" s="53">
        <f t="shared" si="0"/>
        <v>0</v>
      </c>
      <c r="J75" s="9"/>
    </row>
    <row r="76" spans="1:10" ht="12.75">
      <c r="A76" s="11" t="s">
        <v>240</v>
      </c>
      <c r="B76" s="12">
        <v>0.35</v>
      </c>
      <c r="D76" s="6">
        <f t="shared" si="1"/>
        <v>0</v>
      </c>
      <c r="H76">
        <v>82</v>
      </c>
      <c r="I76" s="53">
        <f t="shared" si="0"/>
        <v>0</v>
      </c>
      <c r="J76" s="9"/>
    </row>
    <row r="77" spans="1:10" ht="12.75">
      <c r="A77" s="11" t="s">
        <v>32</v>
      </c>
      <c r="B77" s="12">
        <v>13.17</v>
      </c>
      <c r="D77" s="6">
        <f t="shared" si="1"/>
        <v>0</v>
      </c>
      <c r="H77">
        <v>82</v>
      </c>
      <c r="I77" s="53">
        <f t="shared" si="0"/>
        <v>0</v>
      </c>
      <c r="J77" s="9"/>
    </row>
    <row r="78" spans="1:10" ht="12.75">
      <c r="A78" s="11" t="s">
        <v>31</v>
      </c>
      <c r="B78" s="12">
        <v>9.04</v>
      </c>
      <c r="D78" s="6">
        <f t="shared" si="1"/>
        <v>0</v>
      </c>
      <c r="H78">
        <v>82</v>
      </c>
      <c r="I78" s="53">
        <f t="shared" si="0"/>
        <v>0</v>
      </c>
      <c r="J78" s="9"/>
    </row>
    <row r="79" spans="1:10" ht="12.75">
      <c r="A79" s="11" t="s">
        <v>241</v>
      </c>
      <c r="B79" s="12">
        <v>0.51</v>
      </c>
      <c r="D79" s="6">
        <f t="shared" si="1"/>
        <v>0</v>
      </c>
      <c r="H79">
        <v>82</v>
      </c>
      <c r="I79" s="53">
        <f t="shared" si="0"/>
        <v>0</v>
      </c>
      <c r="J79" s="9"/>
    </row>
    <row r="80" spans="1:10" ht="15.75">
      <c r="A80" s="42" t="s">
        <v>252</v>
      </c>
      <c r="B80" s="43"/>
      <c r="D80" s="18"/>
      <c r="F80" s="42" t="s">
        <v>252</v>
      </c>
      <c r="G80" s="43"/>
      <c r="I80" s="53">
        <f aca="true" t="shared" si="4" ref="I80:I130">G80*H80</f>
        <v>0</v>
      </c>
      <c r="J80" s="9"/>
    </row>
    <row r="81" spans="1:10" ht="15.75">
      <c r="A81" s="4" t="s">
        <v>172</v>
      </c>
      <c r="B81" s="43">
        <v>12.5</v>
      </c>
      <c r="D81" s="6">
        <f>B81*C81</f>
        <v>0</v>
      </c>
      <c r="F81" s="42"/>
      <c r="G81" s="43"/>
      <c r="I81" s="53"/>
      <c r="J81" s="9"/>
    </row>
    <row r="82" spans="1:10" ht="12.75">
      <c r="A82" s="4" t="s">
        <v>173</v>
      </c>
      <c r="B82" s="43">
        <v>25</v>
      </c>
      <c r="D82" s="6">
        <f aca="true" t="shared" si="5" ref="D82:D135">B82*C82</f>
        <v>0</v>
      </c>
      <c r="H82">
        <v>82</v>
      </c>
      <c r="I82" s="53">
        <f t="shared" si="4"/>
        <v>0</v>
      </c>
      <c r="J82" s="9"/>
    </row>
    <row r="83" spans="1:10" ht="12.75">
      <c r="A83" s="4" t="s">
        <v>174</v>
      </c>
      <c r="B83" s="43">
        <v>17.5</v>
      </c>
      <c r="D83" s="6">
        <f t="shared" si="5"/>
        <v>0</v>
      </c>
      <c r="H83">
        <v>82</v>
      </c>
      <c r="I83" s="53">
        <f t="shared" si="4"/>
        <v>0</v>
      </c>
      <c r="J83" s="9"/>
    </row>
    <row r="84" spans="1:10" ht="12.75">
      <c r="A84" s="4" t="s">
        <v>175</v>
      </c>
      <c r="B84" s="43">
        <v>22</v>
      </c>
      <c r="D84" s="6">
        <f t="shared" si="5"/>
        <v>0</v>
      </c>
      <c r="H84">
        <v>82</v>
      </c>
      <c r="I84" s="53">
        <f t="shared" si="4"/>
        <v>0</v>
      </c>
      <c r="J84" s="9"/>
    </row>
    <row r="85" spans="1:10" ht="12.75">
      <c r="A85" s="4" t="s">
        <v>176</v>
      </c>
      <c r="B85" s="43">
        <v>12</v>
      </c>
      <c r="D85" s="6">
        <f t="shared" si="5"/>
        <v>0</v>
      </c>
      <c r="H85">
        <v>82</v>
      </c>
      <c r="I85" s="53">
        <f t="shared" si="4"/>
        <v>0</v>
      </c>
      <c r="J85" s="9"/>
    </row>
    <row r="86" spans="1:10" ht="12.75">
      <c r="A86" s="4" t="s">
        <v>177</v>
      </c>
      <c r="B86" s="43">
        <v>106</v>
      </c>
      <c r="D86" s="6">
        <f t="shared" si="5"/>
        <v>0</v>
      </c>
      <c r="H86">
        <v>82</v>
      </c>
      <c r="I86" s="53">
        <f t="shared" si="4"/>
        <v>0</v>
      </c>
      <c r="J86" s="9"/>
    </row>
    <row r="87" spans="1:10" ht="12.75">
      <c r="A87" s="4" t="s">
        <v>178</v>
      </c>
      <c r="B87" s="43">
        <v>44</v>
      </c>
      <c r="D87" s="6">
        <f t="shared" si="5"/>
        <v>0</v>
      </c>
      <c r="H87">
        <v>82</v>
      </c>
      <c r="I87" s="53">
        <f t="shared" si="4"/>
        <v>0</v>
      </c>
      <c r="J87" s="9"/>
    </row>
    <row r="88" spans="1:10" ht="12.75">
      <c r="A88" s="4" t="s">
        <v>179</v>
      </c>
      <c r="B88" s="43">
        <v>30</v>
      </c>
      <c r="D88" s="6">
        <f t="shared" si="5"/>
        <v>0</v>
      </c>
      <c r="H88">
        <v>82</v>
      </c>
      <c r="I88" s="53">
        <f t="shared" si="4"/>
        <v>0</v>
      </c>
      <c r="J88" s="9"/>
    </row>
    <row r="89" spans="1:10" ht="12.75">
      <c r="A89" s="4" t="s">
        <v>180</v>
      </c>
      <c r="B89" s="43">
        <v>60</v>
      </c>
      <c r="D89" s="6">
        <f t="shared" si="5"/>
        <v>0</v>
      </c>
      <c r="H89">
        <v>82</v>
      </c>
      <c r="I89" s="53">
        <f t="shared" si="4"/>
        <v>0</v>
      </c>
      <c r="J89" s="9"/>
    </row>
    <row r="90" spans="1:10" ht="12.75">
      <c r="A90" s="4" t="s">
        <v>181</v>
      </c>
      <c r="B90" s="43">
        <v>40</v>
      </c>
      <c r="D90" s="6">
        <f t="shared" si="5"/>
        <v>0</v>
      </c>
      <c r="H90">
        <v>82</v>
      </c>
      <c r="I90" s="53">
        <f t="shared" si="4"/>
        <v>0</v>
      </c>
      <c r="J90" s="9"/>
    </row>
    <row r="91" spans="1:10" ht="12.75">
      <c r="A91" s="4" t="s">
        <v>182</v>
      </c>
      <c r="B91" s="43">
        <v>16</v>
      </c>
      <c r="D91" s="6">
        <f t="shared" si="5"/>
        <v>0</v>
      </c>
      <c r="H91">
        <v>82</v>
      </c>
      <c r="I91" s="53">
        <f t="shared" si="4"/>
        <v>0</v>
      </c>
      <c r="J91" s="9"/>
    </row>
    <row r="92" spans="1:10" ht="12.75">
      <c r="A92" s="4" t="s">
        <v>39</v>
      </c>
      <c r="B92" s="43">
        <v>28</v>
      </c>
      <c r="C92" s="5">
        <f>ROUNDUP(Data!F13*0.01,0)</f>
        <v>1</v>
      </c>
      <c r="D92" s="6">
        <f t="shared" si="5"/>
        <v>28</v>
      </c>
      <c r="H92">
        <v>82</v>
      </c>
      <c r="I92" s="53">
        <f t="shared" si="4"/>
        <v>0</v>
      </c>
      <c r="J92" s="9"/>
    </row>
    <row r="93" spans="1:10" ht="15.75">
      <c r="A93" s="36" t="s">
        <v>253</v>
      </c>
      <c r="B93" s="46"/>
      <c r="C93" s="9"/>
      <c r="D93" s="18"/>
      <c r="F93" s="36" t="s">
        <v>253</v>
      </c>
      <c r="G93" s="46"/>
      <c r="I93" s="53">
        <f t="shared" si="4"/>
        <v>0</v>
      </c>
      <c r="J93" s="9"/>
    </row>
    <row r="94" spans="1:10" ht="12.75">
      <c r="A94" s="47" t="s">
        <v>40</v>
      </c>
      <c r="B94" s="78">
        <v>0.48</v>
      </c>
      <c r="C94" s="5">
        <f>Data!F20</f>
        <v>1360</v>
      </c>
      <c r="D94" s="6">
        <f t="shared" si="5"/>
        <v>652.8</v>
      </c>
      <c r="F94" s="47" t="s">
        <v>40</v>
      </c>
      <c r="H94" s="54">
        <v>0.24</v>
      </c>
      <c r="I94" s="53">
        <f t="shared" si="4"/>
        <v>0</v>
      </c>
      <c r="J94" s="9"/>
    </row>
    <row r="95" spans="1:10" ht="12.75">
      <c r="A95" s="47" t="s">
        <v>41</v>
      </c>
      <c r="B95" s="78">
        <v>0.48</v>
      </c>
      <c r="C95" s="5">
        <f>Data!F11</f>
        <v>640</v>
      </c>
      <c r="D95" s="6">
        <f t="shared" si="5"/>
        <v>307.2</v>
      </c>
      <c r="F95" s="47" t="s">
        <v>41</v>
      </c>
      <c r="H95" s="54">
        <v>0.24</v>
      </c>
      <c r="I95" s="53">
        <f t="shared" si="4"/>
        <v>0</v>
      </c>
      <c r="J95" s="9"/>
    </row>
    <row r="96" spans="1:10" ht="12.75">
      <c r="A96" s="47" t="s">
        <v>42</v>
      </c>
      <c r="B96" s="46">
        <v>2</v>
      </c>
      <c r="D96" s="6">
        <f t="shared" si="5"/>
        <v>0</v>
      </c>
      <c r="H96">
        <v>82</v>
      </c>
      <c r="I96" s="53">
        <f t="shared" si="4"/>
        <v>0</v>
      </c>
      <c r="J96" s="9"/>
    </row>
    <row r="97" spans="1:10" ht="12.75">
      <c r="A97" s="47" t="s">
        <v>43</v>
      </c>
      <c r="B97" s="46">
        <v>1.5</v>
      </c>
      <c r="C97" s="5">
        <f>Data!B24</f>
        <v>20</v>
      </c>
      <c r="D97" s="6">
        <f t="shared" si="5"/>
        <v>30</v>
      </c>
      <c r="H97">
        <v>82</v>
      </c>
      <c r="I97" s="53">
        <f t="shared" si="4"/>
        <v>0</v>
      </c>
      <c r="J97" s="9"/>
    </row>
    <row r="98" spans="1:10" ht="15.75">
      <c r="A98" s="44" t="s">
        <v>254</v>
      </c>
      <c r="B98" s="45"/>
      <c r="C98" s="9"/>
      <c r="D98" s="18"/>
      <c r="F98" s="44" t="s">
        <v>254</v>
      </c>
      <c r="G98" s="45"/>
      <c r="I98" s="53">
        <f t="shared" si="4"/>
        <v>0</v>
      </c>
      <c r="J98" s="9"/>
    </row>
    <row r="99" spans="1:10" ht="12.75">
      <c r="A99" s="15" t="s">
        <v>44</v>
      </c>
      <c r="B99" s="55">
        <v>0.4</v>
      </c>
      <c r="C99" s="5">
        <f>Data!F11</f>
        <v>640</v>
      </c>
      <c r="D99" s="6">
        <f t="shared" si="5"/>
        <v>256</v>
      </c>
      <c r="F99" s="15" t="s">
        <v>44</v>
      </c>
      <c r="G99" s="5">
        <f>C99</f>
        <v>640</v>
      </c>
      <c r="H99" s="54">
        <v>1</v>
      </c>
      <c r="I99" s="53">
        <f t="shared" si="4"/>
        <v>640</v>
      </c>
      <c r="J99" s="9"/>
    </row>
    <row r="100" spans="1:10" ht="12.75">
      <c r="A100" s="15" t="s">
        <v>45</v>
      </c>
      <c r="B100" s="55">
        <v>0.33</v>
      </c>
      <c r="C100" s="5">
        <f>Data!F20</f>
        <v>1360</v>
      </c>
      <c r="D100" s="6">
        <f t="shared" si="5"/>
        <v>448.8</v>
      </c>
      <c r="F100" s="15" t="s">
        <v>45</v>
      </c>
      <c r="G100" s="5">
        <f>C100</f>
        <v>1360</v>
      </c>
      <c r="H100" s="54">
        <v>0.72</v>
      </c>
      <c r="I100" s="53">
        <f t="shared" si="4"/>
        <v>979.1999999999999</v>
      </c>
      <c r="J100" s="9"/>
    </row>
    <row r="101" spans="1:10" ht="12.75">
      <c r="A101" s="15" t="s">
        <v>46</v>
      </c>
      <c r="B101" s="45">
        <v>16</v>
      </c>
      <c r="D101" s="6">
        <f t="shared" si="5"/>
        <v>0</v>
      </c>
      <c r="H101">
        <v>82</v>
      </c>
      <c r="I101" s="53">
        <f t="shared" si="4"/>
        <v>0</v>
      </c>
      <c r="J101" s="9"/>
    </row>
    <row r="102" spans="1:10" ht="12.75">
      <c r="A102" s="15" t="s">
        <v>47</v>
      </c>
      <c r="B102" s="45">
        <v>1.8</v>
      </c>
      <c r="D102" s="6">
        <f t="shared" si="5"/>
        <v>0</v>
      </c>
      <c r="H102">
        <v>82</v>
      </c>
      <c r="I102" s="53">
        <f t="shared" si="4"/>
        <v>0</v>
      </c>
      <c r="J102" s="9"/>
    </row>
    <row r="103" spans="1:10" ht="12.75">
      <c r="A103" s="15" t="s">
        <v>48</v>
      </c>
      <c r="B103" s="45">
        <v>2.24</v>
      </c>
      <c r="D103" s="6">
        <f t="shared" si="5"/>
        <v>0</v>
      </c>
      <c r="H103">
        <v>82</v>
      </c>
      <c r="I103" s="53">
        <f t="shared" si="4"/>
        <v>0</v>
      </c>
      <c r="J103" s="9"/>
    </row>
    <row r="104" spans="1:10" ht="15.75">
      <c r="A104" s="42" t="s">
        <v>297</v>
      </c>
      <c r="B104" s="43"/>
      <c r="C104" s="9"/>
      <c r="D104" s="6">
        <f t="shared" si="5"/>
        <v>0</v>
      </c>
      <c r="F104" s="42" t="s">
        <v>297</v>
      </c>
      <c r="G104" s="4"/>
      <c r="H104" s="43"/>
      <c r="I104" s="53">
        <f t="shared" si="4"/>
        <v>0</v>
      </c>
      <c r="J104" s="9"/>
    </row>
    <row r="105" spans="1:10" ht="12.75">
      <c r="A105" s="4" t="s">
        <v>298</v>
      </c>
      <c r="B105" s="55">
        <v>9.16</v>
      </c>
      <c r="C105" s="9">
        <f>ROUNDUP(Data!F22/100,0)</f>
        <v>20</v>
      </c>
      <c r="D105" s="6">
        <f t="shared" si="5"/>
        <v>183.2</v>
      </c>
      <c r="F105" s="20" t="s">
        <v>298</v>
      </c>
      <c r="G105" s="4">
        <f>ROUNDUP(Data!F22/100,0)</f>
        <v>20</v>
      </c>
      <c r="H105" s="55">
        <v>12.32</v>
      </c>
      <c r="I105" s="53">
        <f t="shared" si="4"/>
        <v>246.4</v>
      </c>
      <c r="J105" s="9"/>
    </row>
    <row r="106" spans="1:10" ht="12.75">
      <c r="A106" s="4" t="s">
        <v>305</v>
      </c>
      <c r="B106" s="55">
        <v>19.1</v>
      </c>
      <c r="C106" s="9">
        <f>ROUNDUP(Data!F22/100,0)</f>
        <v>20</v>
      </c>
      <c r="D106" s="6">
        <f t="shared" si="5"/>
        <v>382</v>
      </c>
      <c r="F106" s="20" t="s">
        <v>306</v>
      </c>
      <c r="G106" s="4">
        <f>ROUNDUP(Data!F22/100,0)</f>
        <v>20</v>
      </c>
      <c r="H106" s="55">
        <v>18</v>
      </c>
      <c r="I106" s="53">
        <f t="shared" si="4"/>
        <v>360</v>
      </c>
      <c r="J106" s="9"/>
    </row>
    <row r="107" spans="1:10" ht="12.75">
      <c r="A107" s="4" t="s">
        <v>300</v>
      </c>
      <c r="B107" s="43">
        <v>5</v>
      </c>
      <c r="C107" s="9"/>
      <c r="D107" s="6">
        <f t="shared" si="5"/>
        <v>0</v>
      </c>
      <c r="F107" s="20"/>
      <c r="G107" s="4">
        <f>'[1]Sheet1'!G105</f>
        <v>0</v>
      </c>
      <c r="H107" s="43">
        <v>82</v>
      </c>
      <c r="I107" s="53">
        <f t="shared" si="4"/>
        <v>0</v>
      </c>
      <c r="J107" s="9"/>
    </row>
    <row r="108" spans="1:10" ht="12.75">
      <c r="A108" s="4" t="s">
        <v>301</v>
      </c>
      <c r="B108" s="43">
        <v>10</v>
      </c>
      <c r="C108" s="9"/>
      <c r="D108" s="6">
        <f t="shared" si="5"/>
        <v>0</v>
      </c>
      <c r="F108" s="20" t="s">
        <v>301</v>
      </c>
      <c r="G108" s="4">
        <f>'[1]Sheet1'!G106</f>
        <v>0</v>
      </c>
      <c r="H108" s="43">
        <v>82</v>
      </c>
      <c r="I108" s="53">
        <f t="shared" si="4"/>
        <v>0</v>
      </c>
      <c r="J108" s="9"/>
    </row>
    <row r="109" spans="1:10" ht="12.75">
      <c r="A109" s="4" t="s">
        <v>302</v>
      </c>
      <c r="B109" s="43">
        <v>25</v>
      </c>
      <c r="C109" s="9"/>
      <c r="D109" s="6">
        <f t="shared" si="5"/>
        <v>0</v>
      </c>
      <c r="F109" s="20" t="s">
        <v>303</v>
      </c>
      <c r="G109" s="4">
        <f>'[1]Sheet1'!G107</f>
        <v>0</v>
      </c>
      <c r="H109" s="43">
        <v>82</v>
      </c>
      <c r="I109" s="53">
        <f t="shared" si="4"/>
        <v>0</v>
      </c>
      <c r="J109" s="9"/>
    </row>
    <row r="110" spans="1:10" ht="12.75">
      <c r="A110" s="4"/>
      <c r="B110" s="43"/>
      <c r="C110" s="9"/>
      <c r="D110" s="6">
        <f t="shared" si="5"/>
        <v>0</v>
      </c>
      <c r="F110" s="20"/>
      <c r="G110" s="4">
        <f>'[1]Sheet1'!G108</f>
        <v>0</v>
      </c>
      <c r="H110" s="43">
        <v>82</v>
      </c>
      <c r="I110" s="53">
        <f t="shared" si="4"/>
        <v>0</v>
      </c>
      <c r="J110" s="9"/>
    </row>
    <row r="111" spans="1:10" ht="15.75">
      <c r="A111" s="48" t="s">
        <v>255</v>
      </c>
      <c r="B111" s="49"/>
      <c r="D111" s="18"/>
      <c r="F111" s="48" t="s">
        <v>255</v>
      </c>
      <c r="G111" s="49"/>
      <c r="I111" s="53">
        <f t="shared" si="4"/>
        <v>0</v>
      </c>
      <c r="J111" s="9"/>
    </row>
    <row r="112" spans="1:10" ht="12.75">
      <c r="A112" s="19" t="s">
        <v>49</v>
      </c>
      <c r="B112" s="49">
        <v>166</v>
      </c>
      <c r="D112" s="6">
        <f t="shared" si="5"/>
        <v>0</v>
      </c>
      <c r="H112">
        <v>82</v>
      </c>
      <c r="I112" s="53">
        <f t="shared" si="4"/>
        <v>0</v>
      </c>
      <c r="J112" s="9"/>
    </row>
    <row r="113" spans="1:10" ht="12.75">
      <c r="A113" s="19" t="s">
        <v>50</v>
      </c>
      <c r="B113" s="49">
        <v>109</v>
      </c>
      <c r="D113" s="6">
        <f t="shared" si="5"/>
        <v>0</v>
      </c>
      <c r="H113">
        <v>82</v>
      </c>
      <c r="I113" s="53">
        <f t="shared" si="4"/>
        <v>0</v>
      </c>
      <c r="J113" s="9"/>
    </row>
    <row r="114" spans="1:10" ht="12.75">
      <c r="A114" s="19" t="s">
        <v>51</v>
      </c>
      <c r="B114" s="49">
        <v>222</v>
      </c>
      <c r="D114" s="6">
        <f t="shared" si="5"/>
        <v>0</v>
      </c>
      <c r="H114">
        <v>82</v>
      </c>
      <c r="I114" s="53">
        <f t="shared" si="4"/>
        <v>0</v>
      </c>
      <c r="J114" s="9"/>
    </row>
    <row r="115" spans="1:10" ht="12.75">
      <c r="A115" s="19" t="s">
        <v>53</v>
      </c>
      <c r="B115" s="49">
        <v>1.02</v>
      </c>
      <c r="C115" s="5">
        <f>Data!F23</f>
        <v>80</v>
      </c>
      <c r="D115" s="6">
        <f t="shared" si="5"/>
        <v>81.6</v>
      </c>
      <c r="H115">
        <v>82</v>
      </c>
      <c r="I115" s="53">
        <f t="shared" si="4"/>
        <v>0</v>
      </c>
      <c r="J115" s="9"/>
    </row>
    <row r="116" spans="1:10" ht="12.75">
      <c r="A116" s="19" t="s">
        <v>52</v>
      </c>
      <c r="B116" s="49">
        <v>0.84</v>
      </c>
      <c r="D116" s="6">
        <f t="shared" si="5"/>
        <v>0</v>
      </c>
      <c r="H116">
        <v>82</v>
      </c>
      <c r="I116" s="53">
        <f t="shared" si="4"/>
        <v>0</v>
      </c>
      <c r="J116" s="9"/>
    </row>
    <row r="117" spans="1:10" ht="12.75">
      <c r="A117" s="19" t="s">
        <v>54</v>
      </c>
      <c r="B117" s="49">
        <v>16.8</v>
      </c>
      <c r="D117" s="6">
        <f t="shared" si="5"/>
        <v>0</v>
      </c>
      <c r="H117">
        <v>82</v>
      </c>
      <c r="I117" s="53">
        <f t="shared" si="4"/>
        <v>0</v>
      </c>
      <c r="J117" s="9"/>
    </row>
    <row r="118" spans="1:10" ht="12.75">
      <c r="A118" s="19" t="s">
        <v>55</v>
      </c>
      <c r="B118" s="49">
        <v>0.37</v>
      </c>
      <c r="D118" s="6">
        <f t="shared" si="5"/>
        <v>0</v>
      </c>
      <c r="H118">
        <v>82</v>
      </c>
      <c r="I118" s="53">
        <f t="shared" si="4"/>
        <v>0</v>
      </c>
      <c r="J118" s="9"/>
    </row>
    <row r="119" spans="1:10" ht="12.75">
      <c r="A119" s="19" t="s">
        <v>56</v>
      </c>
      <c r="B119" s="49">
        <v>0.6</v>
      </c>
      <c r="D119" s="6">
        <f t="shared" si="5"/>
        <v>0</v>
      </c>
      <c r="H119">
        <v>82</v>
      </c>
      <c r="I119" s="53">
        <f t="shared" si="4"/>
        <v>0</v>
      </c>
      <c r="J119" s="9"/>
    </row>
    <row r="120" spans="1:10" ht="12.75">
      <c r="A120" s="19" t="s">
        <v>57</v>
      </c>
      <c r="B120" s="49">
        <v>0.75</v>
      </c>
      <c r="D120" s="6">
        <f t="shared" si="5"/>
        <v>0</v>
      </c>
      <c r="H120">
        <v>82</v>
      </c>
      <c r="I120" s="53">
        <f t="shared" si="4"/>
        <v>0</v>
      </c>
      <c r="J120" s="9"/>
    </row>
    <row r="121" spans="1:10" ht="12.75">
      <c r="A121" s="19" t="s">
        <v>58</v>
      </c>
      <c r="B121" s="49">
        <v>0.91</v>
      </c>
      <c r="D121" s="6">
        <f t="shared" si="5"/>
        <v>0</v>
      </c>
      <c r="H121">
        <v>82</v>
      </c>
      <c r="I121" s="53">
        <f t="shared" si="4"/>
        <v>0</v>
      </c>
      <c r="J121" s="9"/>
    </row>
    <row r="122" spans="1:10" ht="12.75">
      <c r="A122" s="19" t="s">
        <v>59</v>
      </c>
      <c r="B122" s="49">
        <v>1.13</v>
      </c>
      <c r="D122" s="6">
        <f t="shared" si="5"/>
        <v>0</v>
      </c>
      <c r="H122">
        <v>82</v>
      </c>
      <c r="I122" s="53">
        <f t="shared" si="4"/>
        <v>0</v>
      </c>
      <c r="J122" s="9"/>
    </row>
    <row r="123" spans="1:10" ht="12.75">
      <c r="A123" s="19" t="s">
        <v>60</v>
      </c>
      <c r="B123" s="49">
        <v>16.52</v>
      </c>
      <c r="D123" s="6">
        <f t="shared" si="5"/>
        <v>0</v>
      </c>
      <c r="H123">
        <v>82</v>
      </c>
      <c r="I123" s="53">
        <f t="shared" si="4"/>
        <v>0</v>
      </c>
      <c r="J123" s="9"/>
    </row>
    <row r="124" spans="1:10" ht="12.75">
      <c r="A124" s="19" t="s">
        <v>85</v>
      </c>
      <c r="B124" s="49">
        <v>34</v>
      </c>
      <c r="C124" s="5">
        <f>C112</f>
        <v>0</v>
      </c>
      <c r="D124" s="6">
        <f t="shared" si="5"/>
        <v>0</v>
      </c>
      <c r="H124">
        <v>82</v>
      </c>
      <c r="I124" s="53">
        <f t="shared" si="4"/>
        <v>0</v>
      </c>
      <c r="J124" s="9"/>
    </row>
    <row r="125" spans="1:10" ht="12.75">
      <c r="A125" s="19" t="s">
        <v>61</v>
      </c>
      <c r="B125" s="49">
        <v>25</v>
      </c>
      <c r="D125" s="6">
        <f t="shared" si="5"/>
        <v>0</v>
      </c>
      <c r="H125">
        <v>82</v>
      </c>
      <c r="I125" s="53">
        <f t="shared" si="4"/>
        <v>0</v>
      </c>
      <c r="J125" s="9"/>
    </row>
    <row r="126" spans="1:10" ht="12.75">
      <c r="A126" s="19" t="s">
        <v>62</v>
      </c>
      <c r="B126" s="49">
        <v>4.16</v>
      </c>
      <c r="D126" s="6">
        <f t="shared" si="5"/>
        <v>0</v>
      </c>
      <c r="H126">
        <v>82</v>
      </c>
      <c r="I126" s="53">
        <f t="shared" si="4"/>
        <v>0</v>
      </c>
      <c r="J126" s="9"/>
    </row>
    <row r="127" spans="1:10" ht="12.75">
      <c r="A127" s="19" t="s">
        <v>84</v>
      </c>
      <c r="B127" s="49">
        <v>3.29</v>
      </c>
      <c r="D127" s="6">
        <f t="shared" si="5"/>
        <v>0</v>
      </c>
      <c r="H127">
        <v>82</v>
      </c>
      <c r="I127" s="53">
        <f t="shared" si="4"/>
        <v>0</v>
      </c>
      <c r="J127" s="9"/>
    </row>
    <row r="128" spans="1:10" ht="12.75">
      <c r="A128" s="19" t="s">
        <v>63</v>
      </c>
      <c r="B128" s="49">
        <v>1.51</v>
      </c>
      <c r="D128" s="6">
        <f t="shared" si="5"/>
        <v>0</v>
      </c>
      <c r="H128">
        <v>82</v>
      </c>
      <c r="I128" s="53">
        <f t="shared" si="4"/>
        <v>0</v>
      </c>
      <c r="J128" s="9"/>
    </row>
    <row r="129" spans="1:10" ht="12.75">
      <c r="A129" s="19" t="s">
        <v>64</v>
      </c>
      <c r="B129" s="49">
        <v>2.27</v>
      </c>
      <c r="D129" s="6">
        <f t="shared" si="5"/>
        <v>0</v>
      </c>
      <c r="H129">
        <v>82</v>
      </c>
      <c r="I129" s="53">
        <f t="shared" si="4"/>
        <v>0</v>
      </c>
      <c r="J129" s="9"/>
    </row>
    <row r="130" spans="1:10" ht="12.75">
      <c r="A130" s="19" t="s">
        <v>65</v>
      </c>
      <c r="B130" s="49">
        <v>3.08</v>
      </c>
      <c r="D130" s="6">
        <f t="shared" si="5"/>
        <v>0</v>
      </c>
      <c r="H130">
        <v>82</v>
      </c>
      <c r="I130" s="53">
        <f t="shared" si="4"/>
        <v>0</v>
      </c>
      <c r="J130" s="9"/>
    </row>
    <row r="131" spans="1:10" ht="12.75">
      <c r="A131" s="19" t="s">
        <v>67</v>
      </c>
      <c r="B131" s="49">
        <v>20.41</v>
      </c>
      <c r="D131" s="6">
        <f t="shared" si="5"/>
        <v>0</v>
      </c>
      <c r="H131">
        <v>82</v>
      </c>
      <c r="I131" s="53">
        <f aca="true" t="shared" si="6" ref="I131:I139">G131*H131</f>
        <v>0</v>
      </c>
      <c r="J131" s="9"/>
    </row>
    <row r="132" spans="1:10" ht="12.75">
      <c r="A132" s="19" t="s">
        <v>66</v>
      </c>
      <c r="B132" s="49">
        <v>58.44</v>
      </c>
      <c r="D132" s="6">
        <f t="shared" si="5"/>
        <v>0</v>
      </c>
      <c r="F132" s="21" t="s">
        <v>229</v>
      </c>
      <c r="H132">
        <v>82</v>
      </c>
      <c r="I132" s="53">
        <f t="shared" si="6"/>
        <v>0</v>
      </c>
      <c r="J132" s="9"/>
    </row>
    <row r="133" spans="1:10" ht="12.75">
      <c r="A133" s="19" t="s">
        <v>68</v>
      </c>
      <c r="B133" s="49">
        <v>4.74</v>
      </c>
      <c r="D133" s="6">
        <f t="shared" si="5"/>
        <v>0</v>
      </c>
      <c r="H133">
        <v>82</v>
      </c>
      <c r="I133" s="53">
        <f t="shared" si="6"/>
        <v>0</v>
      </c>
      <c r="J133" s="9"/>
    </row>
    <row r="134" spans="1:10" ht="12.75">
      <c r="A134" t="s">
        <v>189</v>
      </c>
      <c r="B134" s="2">
        <v>2.5</v>
      </c>
      <c r="D134" s="6">
        <f t="shared" si="5"/>
        <v>0</v>
      </c>
      <c r="F134" t="s">
        <v>193</v>
      </c>
      <c r="H134">
        <v>1</v>
      </c>
      <c r="I134" s="53">
        <f t="shared" si="6"/>
        <v>0</v>
      </c>
      <c r="J134" s="9"/>
    </row>
    <row r="135" spans="1:10" ht="12.75">
      <c r="A135" t="s">
        <v>190</v>
      </c>
      <c r="B135" s="2">
        <v>1.5</v>
      </c>
      <c r="D135" s="6">
        <f t="shared" si="5"/>
        <v>0</v>
      </c>
      <c r="F135" t="s">
        <v>194</v>
      </c>
      <c r="H135">
        <v>0.5</v>
      </c>
      <c r="I135" s="53">
        <f t="shared" si="6"/>
        <v>0</v>
      </c>
      <c r="J135" s="9"/>
    </row>
    <row r="136" spans="1:10" ht="12.75">
      <c r="A136" t="s">
        <v>191</v>
      </c>
      <c r="B136" s="2">
        <v>1.75</v>
      </c>
      <c r="D136" s="6">
        <f>B136*C136</f>
        <v>0</v>
      </c>
      <c r="H136">
        <v>82</v>
      </c>
      <c r="I136" s="53">
        <f t="shared" si="6"/>
        <v>0</v>
      </c>
      <c r="J136" s="9"/>
    </row>
    <row r="137" spans="1:10" ht="12.75">
      <c r="A137" t="s">
        <v>192</v>
      </c>
      <c r="B137" s="2">
        <v>0.4</v>
      </c>
      <c r="D137" s="6">
        <f>B137*C137</f>
        <v>0</v>
      </c>
      <c r="H137">
        <v>82</v>
      </c>
      <c r="I137" s="53">
        <f t="shared" si="6"/>
        <v>0</v>
      </c>
      <c r="J137" s="9"/>
    </row>
    <row r="138" spans="2:10" ht="12.75">
      <c r="B138" s="2"/>
      <c r="D138" s="6">
        <f>B138*C138</f>
        <v>0</v>
      </c>
      <c r="H138">
        <v>82</v>
      </c>
      <c r="I138" s="53">
        <f t="shared" si="6"/>
        <v>0</v>
      </c>
      <c r="J138" s="9"/>
    </row>
    <row r="139" spans="2:10" ht="12.75">
      <c r="B139" s="2"/>
      <c r="D139" s="2"/>
      <c r="H139">
        <v>82</v>
      </c>
      <c r="I139" s="53">
        <f t="shared" si="6"/>
        <v>0</v>
      </c>
      <c r="J139" s="9"/>
    </row>
    <row r="140" spans="1:10" ht="12.75">
      <c r="A140" s="13" t="s">
        <v>170</v>
      </c>
      <c r="B140" s="14"/>
      <c r="C140" s="13"/>
      <c r="D140" s="14">
        <f>SUM(D7:D139)</f>
        <v>16277.539999999999</v>
      </c>
      <c r="F140" s="11" t="s">
        <v>171</v>
      </c>
      <c r="G140" s="11">
        <f>SUM(G3:G139)</f>
        <v>8311.9</v>
      </c>
      <c r="H140" s="11"/>
      <c r="I140" s="12"/>
      <c r="J140" s="9"/>
    </row>
    <row r="141" spans="1:10" ht="12.75">
      <c r="A141" s="13" t="s">
        <v>275</v>
      </c>
      <c r="B141" s="14"/>
      <c r="C141" s="13"/>
      <c r="D141" s="14">
        <f>D140*1.07</f>
        <v>17416.9678</v>
      </c>
      <c r="F141" s="11" t="s">
        <v>160</v>
      </c>
      <c r="G141" s="11"/>
      <c r="H141" s="11"/>
      <c r="I141" s="12">
        <f>SUM(I3:I139)</f>
        <v>11939.696000000002</v>
      </c>
      <c r="J141" s="9"/>
    </row>
    <row r="142" spans="4:10" ht="12.75">
      <c r="D142" s="2"/>
      <c r="J142" s="9"/>
    </row>
    <row r="143" ht="12.75">
      <c r="J143" s="9"/>
    </row>
    <row r="144" spans="1:10" ht="15.75">
      <c r="A144" s="9"/>
      <c r="B144" s="9"/>
      <c r="C144" s="9"/>
      <c r="D144" s="10"/>
      <c r="F144" s="36" t="s">
        <v>183</v>
      </c>
      <c r="G144" s="36"/>
      <c r="H144" s="36"/>
      <c r="I144" s="64">
        <f>D141</f>
        <v>17416.9678</v>
      </c>
      <c r="J144" s="9"/>
    </row>
    <row r="145" spans="1:10" ht="15.75">
      <c r="A145" s="9"/>
      <c r="B145" s="9"/>
      <c r="C145" s="9"/>
      <c r="D145" s="10"/>
      <c r="F145" s="35" t="s">
        <v>184</v>
      </c>
      <c r="G145" s="35"/>
      <c r="H145" s="35"/>
      <c r="I145" s="65">
        <f>I141</f>
        <v>11939.696000000002</v>
      </c>
      <c r="J145" s="9"/>
    </row>
    <row r="146" spans="1:10" ht="15.75">
      <c r="A146" s="9"/>
      <c r="B146" s="9"/>
      <c r="C146" s="9"/>
      <c r="D146" s="10"/>
      <c r="F146" s="44" t="s">
        <v>276</v>
      </c>
      <c r="G146" s="44"/>
      <c r="H146" s="44"/>
      <c r="I146" s="66">
        <f>I144+I145</f>
        <v>29356.663800000002</v>
      </c>
      <c r="J146" s="9"/>
    </row>
    <row r="147" spans="6:10" ht="15.75">
      <c r="F147" s="22" t="s">
        <v>278</v>
      </c>
      <c r="G147" s="22"/>
      <c r="H147" s="22"/>
      <c r="I147" s="67">
        <f>I146*0.15</f>
        <v>4403.49957</v>
      </c>
      <c r="J147" s="9"/>
    </row>
    <row r="148" spans="6:10" ht="15.75">
      <c r="F148" s="22" t="s">
        <v>277</v>
      </c>
      <c r="G148" s="22"/>
      <c r="H148" s="22"/>
      <c r="I148" s="67">
        <f>I146*0.1</f>
        <v>2935.6663800000006</v>
      </c>
      <c r="J148" s="9"/>
    </row>
    <row r="149" spans="6:10" ht="15.75">
      <c r="F149" s="56" t="s">
        <v>77</v>
      </c>
      <c r="G149" s="56"/>
      <c r="H149" s="56"/>
      <c r="I149" s="68">
        <f>I146+I147+I148</f>
        <v>36695.829750000004</v>
      </c>
      <c r="J149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2007-01-25T14:42:16Z</dcterms:created>
  <dcterms:modified xsi:type="dcterms:W3CDTF">2008-04-23T00:53:29Z</dcterms:modified>
  <cp:category/>
  <cp:version/>
  <cp:contentType/>
  <cp:contentStatus/>
</cp:coreProperties>
</file>