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355" windowHeight="5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<sst xmlns="http://schemas.openxmlformats.org/spreadsheetml/2006/main" count="68" uniqueCount="55">
  <si>
    <t>elec</t>
  </si>
  <si>
    <t>gas</t>
  </si>
  <si>
    <t>cent/kWhr</t>
  </si>
  <si>
    <t>cents/therm</t>
  </si>
  <si>
    <t>raw equiv 100K BTU</t>
  </si>
  <si>
    <t>COP</t>
  </si>
  <si>
    <t>temp/table</t>
  </si>
  <si>
    <t>outside temp</t>
  </si>
  <si>
    <t xml:space="preserve">cost of gas @ </t>
  </si>
  <si>
    <t>percent eff</t>
  </si>
  <si>
    <t>short run</t>
  </si>
  <si>
    <t xml:space="preserve">long run </t>
  </si>
  <si>
    <t>HP$$</t>
  </si>
  <si>
    <t>delta for pipe = 3.5 cents per 100,000 BTUS</t>
  </si>
  <si>
    <t xml:space="preserve">at 80 cents avg, for $100 heat bill,  then </t>
  </si>
  <si>
    <t xml:space="preserve">is $4 per heating month, or about $20 per year. </t>
  </si>
  <si>
    <t>20 cents savings over gas,</t>
  </si>
  <si>
    <t xml:space="preserve"> </t>
  </si>
  <si>
    <t>cop</t>
  </si>
  <si>
    <t>price gas</t>
  </si>
  <si>
    <t>elec resistance</t>
  </si>
  <si>
    <t>Price HP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</si>
  <si>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</si>
  <si>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</si>
  <si>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</si>
  <si>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</si>
  <si>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</si>
  <si>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</si>
  <si>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</si>
  <si>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</si>
  <si>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</si>
  <si>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</si>
  <si>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</si>
  <si>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</si>
  <si>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Apr;</t>
  </si>
  <si>
    <t>June</t>
  </si>
  <si>
    <t>Sept</t>
  </si>
  <si>
    <t xml:space="preserve">Oct </t>
  </si>
  <si>
    <t>DD</t>
  </si>
  <si>
    <t>DT, avg</t>
  </si>
  <si>
    <t>degrees C</t>
  </si>
  <si>
    <t>deg F</t>
  </si>
  <si>
    <t>outside avg</t>
  </si>
  <si>
    <t xml:space="preserve">After R-11 walls, </t>
  </si>
  <si>
    <t>BTU/hr heat</t>
  </si>
  <si>
    <t>$$ mo gas</t>
  </si>
  <si>
    <t>$$ mo HP</t>
  </si>
  <si>
    <t xml:space="preserve">gas/resistance = </t>
  </si>
  <si>
    <t>based on 300 BTUs hr per deg F insulation</t>
  </si>
  <si>
    <t>R-13 in all wall, R-20 on ceiling and basement ceiling</t>
  </si>
  <si>
    <t xml:space="preserve">degree days from Noaa web site. </t>
  </si>
  <si>
    <t>w defrost factor</t>
  </si>
  <si>
    <t>Yearly SAVINGS, 100s$$$</t>
  </si>
  <si>
    <t>R-20+ ceilings/floor</t>
  </si>
  <si>
    <t xml:space="preserve">DIY cost approx $$ 800 materials or less if blown.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</si>
</sst>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</numFmts>
  <fonts count="12">
    <font>
      <sz val="10"/>
      <name val="Arial"/>
      <family val="0"/>
    </font>
    <font>
      <sz val="8"/>
      <name val="Arial"/>
      <family val="2"/>
    </font>
    <font>
      <sz val="8.2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0385"/>
          <c:w val="0.86475"/>
          <c:h val="0.874"/>
        </c:manualLayout>
      </c:layout>
      <c:lineChart>
        <c:grouping val="standard"/>
        <c:varyColors val="0"/>
        <c:ser>
          <c:idx val="2"/>
          <c:order val="0"/>
          <c:tx>
            <c:v>Outside temperature vs COP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Sheet1!$A$11:$A$31</c:f>
              <c:numCache/>
            </c:numRef>
          </c:cat>
          <c:val>
            <c:numRef>
              <c:f>Sheet1!$C$11:$C$31</c:f>
              <c:numCache/>
            </c:numRef>
          </c:val>
          <c:smooth val="0"/>
        </c:ser>
        <c:axId val="18372114"/>
        <c:axId val="31131299"/>
      </c:lineChart>
      <c:lineChart>
        <c:grouping val="standard"/>
        <c:varyColors val="0"/>
        <c:ser>
          <c:idx val="0"/>
          <c:order val="1"/>
          <c:tx>
            <c:v>effective cost per 100k BTUs HP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Sheet1!$B$11:$B$31</c:f>
              <c:numCache/>
            </c:numRef>
          </c:val>
          <c:smooth val="0"/>
        </c:ser>
        <c:ser>
          <c:idx val="1"/>
          <c:order val="2"/>
          <c:tx>
            <c:v>cost per 100 K BTUs gas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Sheet1!$E$11:$E$31</c:f>
              <c:numCache/>
            </c:numRef>
          </c:val>
          <c:smooth val="0"/>
        </c:ser>
        <c:axId val="11746236"/>
        <c:axId val="38607261"/>
      </c:lineChart>
      <c:catAx>
        <c:axId val="18372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COP of heat pump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31299"/>
        <c:crosses val="autoZero"/>
        <c:auto val="1"/>
        <c:lblOffset val="100"/>
        <c:noMultiLvlLbl val="0"/>
      </c:catAx>
      <c:valAx>
        <c:axId val="31131299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Outside 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72114"/>
        <c:crossesAt val="1"/>
        <c:crossBetween val="midCat"/>
        <c:dispUnits/>
      </c:valAx>
      <c:catAx>
        <c:axId val="11746236"/>
        <c:scaling>
          <c:orientation val="minMax"/>
        </c:scaling>
        <c:axPos val="b"/>
        <c:delete val="1"/>
        <c:majorTickMark val="in"/>
        <c:minorTickMark val="none"/>
        <c:tickLblPos val="nextTo"/>
        <c:crossAx val="38607261"/>
        <c:crosses val="autoZero"/>
        <c:auto val="1"/>
        <c:lblOffset val="100"/>
        <c:noMultiLvlLbl val="0"/>
      </c:catAx>
      <c:valAx>
        <c:axId val="38607261"/>
        <c:scaling>
          <c:orientation val="minMax"/>
          <c:max val="1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Cost of gas or electricity 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746236"/>
        <c:crosses val="max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5"/>
          <c:y val="0.035"/>
          <c:w val="0.4025"/>
          <c:h val="0.32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0575"/>
          <c:w val="0.863"/>
          <c:h val="0.92225"/>
        </c:manualLayout>
      </c:layout>
      <c:lineChart>
        <c:grouping val="standard"/>
        <c:varyColors val="0"/>
        <c:ser>
          <c:idx val="1"/>
          <c:order val="1"/>
          <c:tx>
            <c:strRef>
              <c:f>Sheet1!$C$39</c:f>
              <c:strCache>
                <c:ptCount val="1"/>
                <c:pt idx="0">
                  <c:v>Price HP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Sheet1!$A$41:$A$50</c:f>
              <c:numCache/>
            </c:numRef>
          </c:cat>
          <c:val>
            <c:numRef>
              <c:f>Sheet1!$C$41:$C$50</c:f>
              <c:numCache/>
            </c:numRef>
          </c:val>
          <c:smooth val="0"/>
        </c:ser>
        <c:ser>
          <c:idx val="2"/>
          <c:order val="2"/>
          <c:tx>
            <c:strRef>
              <c:f>Sheet1!$D$39</c:f>
              <c:strCache>
                <c:ptCount val="1"/>
                <c:pt idx="0">
                  <c:v>price gas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Sheet1!$A$41:$A$50</c:f>
              <c:numCache/>
            </c:numRef>
          </c:cat>
          <c:val>
            <c:numRef>
              <c:f>Sheet1!$D$41:$D$50</c:f>
              <c:numCache/>
            </c:numRef>
          </c:val>
          <c:smooth val="0"/>
        </c:ser>
        <c:ser>
          <c:idx val="3"/>
          <c:order val="3"/>
          <c:tx>
            <c:strRef>
              <c:f>Sheet1!$E$39</c:f>
              <c:strCache>
                <c:ptCount val="1"/>
                <c:pt idx="0">
                  <c:v>elec resistance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Sheet1!$A$41:$A$50</c:f>
              <c:numCache/>
            </c:numRef>
          </c:cat>
          <c:val>
            <c:numRef>
              <c:f>Sheet1!$E$41:$E$50</c:f>
              <c:numCache/>
            </c:numRef>
          </c:val>
          <c:smooth val="0"/>
        </c:ser>
        <c:axId val="11921030"/>
        <c:axId val="40180407"/>
      </c:lineChart>
      <c:lineChart>
        <c:grouping val="standard"/>
        <c:varyColors val="0"/>
        <c:ser>
          <c:idx val="0"/>
          <c:order val="0"/>
          <c:tx>
            <c:strRef>
              <c:f>Sheet1!$B$39</c:f>
              <c:strCache>
                <c:ptCount val="1"/>
                <c:pt idx="0">
                  <c:v>cop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Sheet1!$A$41:$A$50</c:f>
              <c:numCache/>
            </c:numRef>
          </c:cat>
          <c:val>
            <c:numRef>
              <c:f>Sheet1!$B$41:$B$50</c:f>
              <c:numCache/>
            </c:numRef>
          </c:val>
          <c:smooth val="0"/>
        </c:ser>
        <c:axId val="26079344"/>
        <c:axId val="33387505"/>
      </c:lineChart>
      <c:catAx>
        <c:axId val="11921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Outside 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80407"/>
        <c:crosses val="autoZero"/>
        <c:auto val="1"/>
        <c:lblOffset val="100"/>
        <c:noMultiLvlLbl val="0"/>
      </c:catAx>
      <c:valAx>
        <c:axId val="40180407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cents per 100,000 BTUs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21030"/>
        <c:crossesAt val="1"/>
        <c:crossBetween val="midCat"/>
        <c:dispUnits/>
      </c:valAx>
      <c:catAx>
        <c:axId val="26079344"/>
        <c:scaling>
          <c:orientation val="minMax"/>
        </c:scaling>
        <c:axPos val="b"/>
        <c:delete val="1"/>
        <c:majorTickMark val="in"/>
        <c:minorTickMark val="none"/>
        <c:tickLblPos val="nextTo"/>
        <c:crossAx val="33387505"/>
        <c:crosses val="autoZero"/>
        <c:auto val="1"/>
        <c:lblOffset val="100"/>
        <c:noMultiLvlLbl val="0"/>
      </c:catAx>
      <c:valAx>
        <c:axId val="33387505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COP of Heat Pump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079344"/>
        <c:crosses val="max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75"/>
          <c:y val="0.173"/>
          <c:w val="0.2095"/>
          <c:h val="0.22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pays for itself over gas IN 1 year!   ( 4.6 cents kW-hr vs 91 cent gas), Ebay CPHJ # TY Goodman at $400
(Spfld IL, DIY installation w/CWLP rebate)</a:t>
            </a:r>
          </a:p>
        </c:rich>
      </c:tx>
      <c:layout>
        <c:manualLayout>
          <c:xMode val="factor"/>
          <c:yMode val="factor"/>
          <c:x val="-0.002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1525"/>
          <c:w val="0.66"/>
          <c:h val="0.88475"/>
        </c:manualLayout>
      </c:layout>
      <c:lineChart>
        <c:grouping val="standard"/>
        <c:varyColors val="0"/>
        <c:ser>
          <c:idx val="6"/>
          <c:order val="1"/>
          <c:tx>
            <c:strRef>
              <c:f>Sheet1!$H$57</c:f>
              <c:strCache>
                <c:ptCount val="1"/>
                <c:pt idx="0">
                  <c:v>$$ mo gas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Sheet1!$A$58:$A$69</c:f>
              <c:strCache/>
            </c:strRef>
          </c:cat>
          <c:val>
            <c:numRef>
              <c:f>Sheet1!$H$58:$H$69</c:f>
              <c:numCache/>
            </c:numRef>
          </c:val>
          <c:smooth val="0"/>
        </c:ser>
        <c:ser>
          <c:idx val="7"/>
          <c:order val="2"/>
          <c:tx>
            <c:strRef>
              <c:f>Sheet1!$I$57</c:f>
              <c:strCache>
                <c:ptCount val="1"/>
                <c:pt idx="0">
                  <c:v>$$ mo HP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Sheet1!$A$58:$A$69</c:f>
              <c:strCache/>
            </c:strRef>
          </c:cat>
          <c:val>
            <c:numRef>
              <c:f>Sheet1!$I$58:$I$69</c:f>
              <c:numCache/>
            </c:numRef>
          </c:val>
          <c:smooth val="0"/>
        </c:ser>
        <c:ser>
          <c:idx val="0"/>
          <c:order val="3"/>
          <c:tx>
            <c:v>yearly savings adds up 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Sheet1!$J$58:$J$69</c:f>
              <c:numCache/>
            </c:numRef>
          </c:val>
          <c:smooth val="0"/>
        </c:ser>
        <c:axId val="32052090"/>
        <c:axId val="20033355"/>
      </c:lineChart>
      <c:lineChart>
        <c:grouping val="standard"/>
        <c:varyColors val="0"/>
        <c:ser>
          <c:idx val="3"/>
          <c:order val="0"/>
          <c:tx>
            <c:strRef>
              <c:f>Sheet1!$E$57</c:f>
              <c:strCache>
                <c:ptCount val="1"/>
                <c:pt idx="0">
                  <c:v>outside avg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Sheet1!$A$58:$A$69</c:f>
              <c:strCache/>
            </c:strRef>
          </c:cat>
          <c:val>
            <c:numRef>
              <c:f>Sheet1!$E$58:$E$69</c:f>
              <c:numCache/>
            </c:numRef>
          </c:val>
          <c:smooth val="1"/>
        </c:ser>
        <c:axId val="46082468"/>
        <c:axId val="12089029"/>
      </c:lineChart>
      <c:catAx>
        <c:axId val="320520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033355"/>
        <c:crosses val="autoZero"/>
        <c:auto val="1"/>
        <c:lblOffset val="100"/>
        <c:noMultiLvlLbl val="0"/>
      </c:catAx>
      <c:valAx>
        <c:axId val="20033355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Gas or electric heat bill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52090"/>
        <c:crossesAt val="1"/>
        <c:crossBetween val="midCat"/>
        <c:dispUnits/>
      </c:valAx>
      <c:catAx>
        <c:axId val="46082468"/>
        <c:scaling>
          <c:orientation val="minMax"/>
        </c:scaling>
        <c:axPos val="b"/>
        <c:delete val="1"/>
        <c:majorTickMark val="in"/>
        <c:minorTickMark val="none"/>
        <c:tickLblPos val="nextTo"/>
        <c:crossAx val="12089029"/>
        <c:crosses val="autoZero"/>
        <c:auto val="1"/>
        <c:lblOffset val="100"/>
        <c:noMultiLvlLbl val="0"/>
      </c:catAx>
      <c:valAx>
        <c:axId val="12089029"/>
        <c:scaling>
          <c:orientation val="minMax"/>
          <c:max val="9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Outside average 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082468"/>
        <c:crosses val="max"/>
        <c:crossBetween val="midCat"/>
        <c:dispUnits/>
        <c:majorUnit val="10"/>
        <c:minorUnit val="4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4835"/>
          <c:w val="0.17725"/>
          <c:h val="0.48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10</xdr:row>
      <xdr:rowOff>152400</xdr:rowOff>
    </xdr:from>
    <xdr:to>
      <xdr:col>14</xdr:col>
      <xdr:colOff>552450</xdr:colOff>
      <xdr:row>35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771650"/>
          <a:ext cx="5391150" cy="392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314325</xdr:colOff>
      <xdr:row>66</xdr:row>
      <xdr:rowOff>114300</xdr:rowOff>
    </xdr:from>
    <xdr:to>
      <xdr:col>16</xdr:col>
      <xdr:colOff>504825</xdr:colOff>
      <xdr:row>82</xdr:row>
      <xdr:rowOff>57150</xdr:rowOff>
    </xdr:to>
    <xdr:graphicFrame>
      <xdr:nvGraphicFramePr>
        <xdr:cNvPr id="2" name="Chart 2"/>
        <xdr:cNvGraphicFramePr/>
      </xdr:nvGraphicFramePr>
      <xdr:xfrm>
        <a:off x="6724650" y="11077575"/>
        <a:ext cx="38481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552450</xdr:colOff>
      <xdr:row>11</xdr:row>
      <xdr:rowOff>114300</xdr:rowOff>
    </xdr:from>
    <xdr:to>
      <xdr:col>8</xdr:col>
      <xdr:colOff>247650</xdr:colOff>
      <xdr:row>15</xdr:row>
      <xdr:rowOff>57150</xdr:rowOff>
    </xdr:to>
    <xdr:sp>
      <xdr:nvSpPr>
        <xdr:cNvPr id="3" name="Line 3"/>
        <xdr:cNvSpPr>
          <a:spLocks/>
        </xdr:cNvSpPr>
      </xdr:nvSpPr>
      <xdr:spPr>
        <a:xfrm flipH="1" flipV="1">
          <a:off x="4286250" y="1895475"/>
          <a:ext cx="9144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31</xdr:row>
      <xdr:rowOff>76200</xdr:rowOff>
    </xdr:from>
    <xdr:to>
      <xdr:col>14</xdr:col>
      <xdr:colOff>200025</xdr:colOff>
      <xdr:row>50</xdr:row>
      <xdr:rowOff>114300</xdr:rowOff>
    </xdr:to>
    <xdr:graphicFrame>
      <xdr:nvGraphicFramePr>
        <xdr:cNvPr id="4" name="Chart 5"/>
        <xdr:cNvGraphicFramePr/>
      </xdr:nvGraphicFramePr>
      <xdr:xfrm>
        <a:off x="3914775" y="5095875"/>
        <a:ext cx="513397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152400</xdr:colOff>
      <xdr:row>71</xdr:row>
      <xdr:rowOff>57150</xdr:rowOff>
    </xdr:from>
    <xdr:to>
      <xdr:col>10</xdr:col>
      <xdr:colOff>152400</xdr:colOff>
      <xdr:row>89</xdr:row>
      <xdr:rowOff>123825</xdr:rowOff>
    </xdr:to>
    <xdr:graphicFrame>
      <xdr:nvGraphicFramePr>
        <xdr:cNvPr id="5" name="Chart 6"/>
        <xdr:cNvGraphicFramePr/>
      </xdr:nvGraphicFramePr>
      <xdr:xfrm>
        <a:off x="1371600" y="11830050"/>
        <a:ext cx="519112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56">
      <selection activeCell="L88" sqref="L88"/>
    </sheetView>
  </sheetViews>
  <sheetFormatPr defaultColWidth="9.140625" defaultRowHeight="12.75"/>
  <cols>
    <col min="5" max="5" width="10.28125" style="0" customWidth="1"/>
    <col min="9" max="9" width="12.7109375" style="0" bestFit="1" customWidth="1"/>
  </cols>
  <sheetData>
    <row r="1" spans="4:8" ht="12.75">
      <c r="D1" t="s">
        <v>4</v>
      </c>
      <c r="G1">
        <v>3.5</v>
      </c>
      <c r="H1" t="s">
        <v>5</v>
      </c>
    </row>
    <row r="2" spans="2:7" ht="12.75">
      <c r="B2" t="s">
        <v>0</v>
      </c>
      <c r="C2">
        <v>4.6</v>
      </c>
      <c r="D2" t="s">
        <v>2</v>
      </c>
      <c r="F2">
        <f>(100/3.412)*$C$2</f>
        <v>134.81828839390386</v>
      </c>
      <c r="G2" t="s">
        <v>17</v>
      </c>
    </row>
    <row r="3" spans="2:10" ht="12.75">
      <c r="B3" t="s">
        <v>1</v>
      </c>
      <c r="C3">
        <v>91.05</v>
      </c>
      <c r="D3" t="s">
        <v>3</v>
      </c>
      <c r="F3">
        <f>C3/100</f>
        <v>0.9105</v>
      </c>
      <c r="H3" t="s">
        <v>47</v>
      </c>
      <c r="J3">
        <f>100*F3/F2</f>
        <v>0.6753534782608696</v>
      </c>
    </row>
    <row r="5" ht="12.75">
      <c r="D5" t="s">
        <v>11</v>
      </c>
    </row>
    <row r="6" spans="1:8" ht="12.75">
      <c r="A6" t="s">
        <v>5</v>
      </c>
      <c r="B6" t="s">
        <v>10</v>
      </c>
      <c r="C6" t="s">
        <v>6</v>
      </c>
      <c r="D6" t="s">
        <v>12</v>
      </c>
      <c r="E6" t="s">
        <v>8</v>
      </c>
      <c r="G6">
        <v>0.8</v>
      </c>
      <c r="H6" t="s">
        <v>9</v>
      </c>
    </row>
    <row r="7" spans="2:5" ht="12.75">
      <c r="B7" t="s">
        <v>12</v>
      </c>
      <c r="C7" t="s">
        <v>7</v>
      </c>
      <c r="E7" t="s">
        <v>1</v>
      </c>
    </row>
    <row r="8" spans="1:4" ht="12.75">
      <c r="A8">
        <v>1.7</v>
      </c>
      <c r="B8">
        <f>$F$2/A8</f>
        <v>79.30487552582579</v>
      </c>
      <c r="C8">
        <v>-3</v>
      </c>
      <c r="D8">
        <f>B8*1.03</f>
        <v>81.68402179160057</v>
      </c>
    </row>
    <row r="9" spans="1:4" ht="12.75">
      <c r="A9">
        <v>1.8</v>
      </c>
      <c r="B9">
        <f>$F$2/A9</f>
        <v>74.89904910772437</v>
      </c>
      <c r="C9">
        <v>2</v>
      </c>
      <c r="D9">
        <f>B9*1.03</f>
        <v>77.1460205809561</v>
      </c>
    </row>
    <row r="10" spans="1:4" ht="12.75">
      <c r="A10">
        <v>1.9</v>
      </c>
      <c r="B10">
        <f>$F$2/A10</f>
        <v>70.95699389152834</v>
      </c>
      <c r="C10">
        <v>8</v>
      </c>
      <c r="D10">
        <f>B10*1.03</f>
        <v>73.0857037082742</v>
      </c>
    </row>
    <row r="11" spans="1:5" ht="12.75">
      <c r="A11">
        <v>2</v>
      </c>
      <c r="B11">
        <f aca="true" t="shared" si="0" ref="B11:B31">$F$2/A11</f>
        <v>67.40914419695193</v>
      </c>
      <c r="C11">
        <v>17</v>
      </c>
      <c r="D11">
        <f>B11*1.03</f>
        <v>69.43141852286048</v>
      </c>
      <c r="E11">
        <f>$F$3/0.8</f>
        <v>1.1381249999999998</v>
      </c>
    </row>
    <row r="12" spans="1:5" ht="12.75">
      <c r="A12">
        <v>2.1</v>
      </c>
      <c r="B12">
        <f t="shared" si="0"/>
        <v>64.19918494947802</v>
      </c>
      <c r="C12">
        <v>23</v>
      </c>
      <c r="D12">
        <f aca="true" t="shared" si="1" ref="D12:D31">B12*1.03</f>
        <v>66.12516049796237</v>
      </c>
      <c r="E12">
        <f aca="true" t="shared" si="2" ref="E12:E31">$F$3/0.8</f>
        <v>1.1381249999999998</v>
      </c>
    </row>
    <row r="13" spans="1:5" ht="12.75">
      <c r="A13">
        <v>2.2</v>
      </c>
      <c r="B13">
        <f t="shared" si="0"/>
        <v>61.2810401790472</v>
      </c>
      <c r="C13">
        <v>28</v>
      </c>
      <c r="D13">
        <f t="shared" si="1"/>
        <v>63.119471384418624</v>
      </c>
      <c r="E13">
        <f t="shared" si="2"/>
        <v>1.1381249999999998</v>
      </c>
    </row>
    <row r="14" spans="1:5" ht="12.75">
      <c r="A14">
        <v>2.3</v>
      </c>
      <c r="B14">
        <f t="shared" si="0"/>
        <v>58.61664712778429</v>
      </c>
      <c r="C14">
        <v>29</v>
      </c>
      <c r="D14">
        <f t="shared" si="1"/>
        <v>60.37514654161782</v>
      </c>
      <c r="E14">
        <f t="shared" si="2"/>
        <v>1.1381249999999998</v>
      </c>
    </row>
    <row r="15" spans="1:5" ht="12.75">
      <c r="A15">
        <v>2.4</v>
      </c>
      <c r="B15">
        <f t="shared" si="0"/>
        <v>56.17428683079328</v>
      </c>
      <c r="C15">
        <v>33</v>
      </c>
      <c r="D15">
        <f t="shared" si="1"/>
        <v>57.85951543571708</v>
      </c>
      <c r="E15">
        <f t="shared" si="2"/>
        <v>1.1381249999999998</v>
      </c>
    </row>
    <row r="16" spans="1:5" ht="12.75">
      <c r="A16">
        <v>2.5</v>
      </c>
      <c r="B16">
        <f t="shared" si="0"/>
        <v>53.92731535756154</v>
      </c>
      <c r="C16">
        <v>36</v>
      </c>
      <c r="D16">
        <f t="shared" si="1"/>
        <v>55.54513481828839</v>
      </c>
      <c r="E16">
        <f t="shared" si="2"/>
        <v>1.1381249999999998</v>
      </c>
    </row>
    <row r="17" spans="1:5" ht="12.75">
      <c r="A17">
        <v>2.6</v>
      </c>
      <c r="B17">
        <f t="shared" si="0"/>
        <v>51.853187843809174</v>
      </c>
      <c r="C17">
        <v>40</v>
      </c>
      <c r="D17">
        <f t="shared" si="1"/>
        <v>53.40878347912345</v>
      </c>
      <c r="E17">
        <f t="shared" si="2"/>
        <v>1.1381249999999998</v>
      </c>
    </row>
    <row r="18" spans="1:5" ht="12.75">
      <c r="A18">
        <v>2.7</v>
      </c>
      <c r="B18">
        <f t="shared" si="0"/>
        <v>49.93269940514957</v>
      </c>
      <c r="C18">
        <v>41</v>
      </c>
      <c r="D18">
        <f t="shared" si="1"/>
        <v>51.43068038730406</v>
      </c>
      <c r="E18">
        <f t="shared" si="2"/>
        <v>1.1381249999999998</v>
      </c>
    </row>
    <row r="19" spans="1:5" ht="12.75">
      <c r="A19">
        <v>2.8</v>
      </c>
      <c r="B19">
        <f t="shared" si="0"/>
        <v>48.149388712108525</v>
      </c>
      <c r="C19">
        <v>46</v>
      </c>
      <c r="D19">
        <f t="shared" si="1"/>
        <v>49.59387037347178</v>
      </c>
      <c r="E19">
        <f t="shared" si="2"/>
        <v>1.1381249999999998</v>
      </c>
    </row>
    <row r="20" spans="1:5" ht="12.75">
      <c r="A20">
        <v>2.9</v>
      </c>
      <c r="B20">
        <f t="shared" si="0"/>
        <v>46.489064963415125</v>
      </c>
      <c r="C20">
        <v>46.5</v>
      </c>
      <c r="D20">
        <f t="shared" si="1"/>
        <v>47.88373691231758</v>
      </c>
      <c r="E20">
        <f t="shared" si="2"/>
        <v>1.1381249999999998</v>
      </c>
    </row>
    <row r="21" spans="1:5" ht="12.75">
      <c r="A21">
        <v>3</v>
      </c>
      <c r="B21">
        <f t="shared" si="0"/>
        <v>44.93942946463462</v>
      </c>
      <c r="C21">
        <v>47</v>
      </c>
      <c r="D21">
        <f t="shared" si="1"/>
        <v>46.28761234857366</v>
      </c>
      <c r="E21">
        <f t="shared" si="2"/>
        <v>1.1381249999999998</v>
      </c>
    </row>
    <row r="22" spans="1:5" ht="12.75">
      <c r="A22">
        <v>3.1</v>
      </c>
      <c r="B22">
        <f t="shared" si="0"/>
        <v>43.48977044964641</v>
      </c>
      <c r="C22">
        <v>50</v>
      </c>
      <c r="D22">
        <f t="shared" si="1"/>
        <v>44.7944635631358</v>
      </c>
      <c r="E22">
        <f t="shared" si="2"/>
        <v>1.1381249999999998</v>
      </c>
    </row>
    <row r="23" spans="1:5" ht="12.75">
      <c r="A23">
        <v>3.2</v>
      </c>
      <c r="B23">
        <f t="shared" si="0"/>
        <v>42.13071512309495</v>
      </c>
      <c r="C23">
        <v>52</v>
      </c>
      <c r="D23">
        <f t="shared" si="1"/>
        <v>43.3946365767878</v>
      </c>
      <c r="E23">
        <f t="shared" si="2"/>
        <v>1.1381249999999998</v>
      </c>
    </row>
    <row r="24" spans="1:5" ht="12.75">
      <c r="A24">
        <v>3.3</v>
      </c>
      <c r="B24">
        <f t="shared" si="0"/>
        <v>40.854026786031476</v>
      </c>
      <c r="C24">
        <v>55</v>
      </c>
      <c r="D24">
        <f t="shared" si="1"/>
        <v>42.07964758961242</v>
      </c>
      <c r="E24">
        <f t="shared" si="2"/>
        <v>1.1381249999999998</v>
      </c>
    </row>
    <row r="25" spans="1:5" ht="12.75">
      <c r="A25">
        <v>3.4</v>
      </c>
      <c r="B25">
        <f t="shared" si="0"/>
        <v>39.652437762912896</v>
      </c>
      <c r="C25">
        <v>56</v>
      </c>
      <c r="D25">
        <f t="shared" si="1"/>
        <v>40.842010895800286</v>
      </c>
      <c r="E25">
        <f t="shared" si="2"/>
        <v>1.1381249999999998</v>
      </c>
    </row>
    <row r="26" spans="1:5" ht="12.75">
      <c r="A26">
        <v>3.5</v>
      </c>
      <c r="B26">
        <f t="shared" si="0"/>
        <v>38.51951096968681</v>
      </c>
      <c r="C26">
        <v>59</v>
      </c>
      <c r="D26">
        <f t="shared" si="1"/>
        <v>39.67509629877742</v>
      </c>
      <c r="E26">
        <f t="shared" si="2"/>
        <v>1.1381249999999998</v>
      </c>
    </row>
    <row r="27" spans="1:5" ht="12.75">
      <c r="A27">
        <v>3.6</v>
      </c>
      <c r="B27">
        <f t="shared" si="0"/>
        <v>37.44952455386218</v>
      </c>
      <c r="C27">
        <v>62</v>
      </c>
      <c r="D27">
        <f t="shared" si="1"/>
        <v>38.57301029047805</v>
      </c>
      <c r="E27">
        <f t="shared" si="2"/>
        <v>1.1381249999999998</v>
      </c>
    </row>
    <row r="28" spans="1:5" ht="12.75">
      <c r="A28">
        <v>3.7</v>
      </c>
      <c r="B28">
        <f t="shared" si="0"/>
        <v>36.43737524159563</v>
      </c>
      <c r="C28">
        <v>65</v>
      </c>
      <c r="D28">
        <f t="shared" si="1"/>
        <v>37.530496498843505</v>
      </c>
      <c r="E28">
        <f t="shared" si="2"/>
        <v>1.1381249999999998</v>
      </c>
    </row>
    <row r="29" spans="1:5" ht="12.75">
      <c r="A29">
        <v>3.8</v>
      </c>
      <c r="B29">
        <f t="shared" si="0"/>
        <v>35.47849694576417</v>
      </c>
      <c r="C29">
        <v>68</v>
      </c>
      <c r="D29">
        <f t="shared" si="1"/>
        <v>36.5428518541371</v>
      </c>
      <c r="E29">
        <f t="shared" si="2"/>
        <v>1.1381249999999998</v>
      </c>
    </row>
    <row r="35" ht="12.75">
      <c r="D35" t="s">
        <v>13</v>
      </c>
    </row>
    <row r="36" spans="4:9" ht="12.75">
      <c r="D36" t="s">
        <v>14</v>
      </c>
      <c r="H36">
        <f>100*83.5/80</f>
        <v>104.375</v>
      </c>
      <c r="I36" t="s">
        <v>15</v>
      </c>
    </row>
    <row r="37" spans="5:8" ht="13.5" customHeight="1">
      <c r="E37" t="s">
        <v>16</v>
      </c>
      <c r="H37" t="s">
        <v>17</v>
      </c>
    </row>
    <row r="38" ht="13.5" customHeight="1"/>
    <row r="39" spans="2:5" s="1" customFormat="1" ht="29.25" customHeight="1">
      <c r="B39" s="1" t="s">
        <v>18</v>
      </c>
      <c r="C39" s="1" t="s">
        <v>21</v>
      </c>
      <c r="D39" s="1" t="s">
        <v>19</v>
      </c>
      <c r="E39" s="1" t="s">
        <v>20</v>
      </c>
    </row>
    <row r="40" spans="1:2" s="1" customFormat="1" ht="15.75" customHeight="1">
      <c r="A40" s="1">
        <v>-30</v>
      </c>
      <c r="B40" s="1">
        <v>1.2</v>
      </c>
    </row>
    <row r="41" spans="1:5" ht="13.5" customHeight="1">
      <c r="A41">
        <v>-20</v>
      </c>
      <c r="B41">
        <v>1.5</v>
      </c>
      <c r="C41">
        <f>E41/B41</f>
        <v>89.87885892926924</v>
      </c>
      <c r="D41">
        <f>$C$3/$G$6</f>
        <v>113.81249999999999</v>
      </c>
      <c r="E41">
        <f>$C$2*100/3.412</f>
        <v>134.81828839390386</v>
      </c>
    </row>
    <row r="42" spans="1:5" ht="12.75">
      <c r="A42">
        <v>-10</v>
      </c>
      <c r="B42">
        <v>1.6522015399446757</v>
      </c>
      <c r="C42">
        <f aca="true" t="shared" si="3" ref="C42:C50">E42/B42</f>
        <v>81.5991785108845</v>
      </c>
      <c r="D42">
        <f aca="true" t="shared" si="4" ref="D42:D50">$C$3/$G$6</f>
        <v>113.81249999999999</v>
      </c>
      <c r="E42">
        <f aca="true" t="shared" si="5" ref="E42:E50">$C$2*100/3.412</f>
        <v>134.81828839390386</v>
      </c>
    </row>
    <row r="43" spans="1:5" ht="12.75">
      <c r="A43">
        <v>0</v>
      </c>
      <c r="B43">
        <v>1.8</v>
      </c>
      <c r="C43">
        <f t="shared" si="3"/>
        <v>74.89904910772437</v>
      </c>
      <c r="D43">
        <f t="shared" si="4"/>
        <v>113.81249999999999</v>
      </c>
      <c r="E43">
        <f t="shared" si="5"/>
        <v>134.81828839390386</v>
      </c>
    </row>
    <row r="44" spans="1:5" ht="12.75">
      <c r="A44">
        <v>10</v>
      </c>
      <c r="B44">
        <v>1.9826217743697379</v>
      </c>
      <c r="C44">
        <f t="shared" si="3"/>
        <v>68.00000390228827</v>
      </c>
      <c r="D44">
        <f t="shared" si="4"/>
        <v>113.81249999999999</v>
      </c>
      <c r="E44">
        <f t="shared" si="5"/>
        <v>134.81828839390386</v>
      </c>
    </row>
    <row r="45" spans="1:5" ht="12.75">
      <c r="A45">
        <v>20</v>
      </c>
      <c r="B45">
        <v>2.15709258716773</v>
      </c>
      <c r="C45">
        <f t="shared" si="3"/>
        <v>62.50000078620674</v>
      </c>
      <c r="D45">
        <f t="shared" si="4"/>
        <v>113.81249999999999</v>
      </c>
      <c r="E45">
        <f t="shared" si="5"/>
        <v>134.81828839390386</v>
      </c>
    </row>
    <row r="46" spans="1:5" ht="12.75">
      <c r="A46">
        <v>30</v>
      </c>
      <c r="B46">
        <v>2.394640901510772</v>
      </c>
      <c r="C46">
        <f t="shared" si="3"/>
        <v>56.30000235477786</v>
      </c>
      <c r="D46">
        <f t="shared" si="4"/>
        <v>113.81249999999999</v>
      </c>
      <c r="E46">
        <f t="shared" si="5"/>
        <v>134.81828839390386</v>
      </c>
    </row>
    <row r="47" spans="1:5" ht="12.75">
      <c r="A47">
        <v>40</v>
      </c>
      <c r="B47">
        <v>2.7</v>
      </c>
      <c r="C47">
        <f t="shared" si="3"/>
        <v>49.93269940514957</v>
      </c>
      <c r="D47">
        <f t="shared" si="4"/>
        <v>113.81249999999999</v>
      </c>
      <c r="E47">
        <f t="shared" si="5"/>
        <v>134.81828839390386</v>
      </c>
    </row>
    <row r="48" spans="1:5" ht="12.75">
      <c r="A48">
        <v>50</v>
      </c>
      <c r="B48">
        <v>3.1</v>
      </c>
      <c r="C48">
        <f t="shared" si="3"/>
        <v>43.48977044964641</v>
      </c>
      <c r="D48">
        <f t="shared" si="4"/>
        <v>113.81249999999999</v>
      </c>
      <c r="E48">
        <f t="shared" si="5"/>
        <v>134.81828839390386</v>
      </c>
    </row>
    <row r="49" spans="1:5" ht="12.75">
      <c r="A49">
        <v>60</v>
      </c>
      <c r="B49">
        <v>3.6</v>
      </c>
      <c r="C49">
        <f t="shared" si="3"/>
        <v>37.44952455386218</v>
      </c>
      <c r="D49">
        <f t="shared" si="4"/>
        <v>113.81249999999999</v>
      </c>
      <c r="E49">
        <f t="shared" si="5"/>
        <v>134.81828839390386</v>
      </c>
    </row>
    <row r="50" spans="1:5" ht="12.75">
      <c r="A50">
        <v>70</v>
      </c>
      <c r="B50">
        <v>4</v>
      </c>
      <c r="C50">
        <f t="shared" si="3"/>
        <v>33.704572098475964</v>
      </c>
      <c r="D50">
        <f t="shared" si="4"/>
        <v>113.81249999999999</v>
      </c>
      <c r="E50">
        <f t="shared" si="5"/>
        <v>134.81828839390386</v>
      </c>
    </row>
    <row r="53" ht="12.75">
      <c r="A53" t="s">
        <v>50</v>
      </c>
    </row>
    <row r="54" spans="1:12" ht="12.75">
      <c r="A54" t="s">
        <v>22</v>
      </c>
      <c r="B54" t="s">
        <v>23</v>
      </c>
      <c r="C54" t="s">
        <v>24</v>
      </c>
      <c r="D54" t="s">
        <v>25</v>
      </c>
      <c r="E54" t="s">
        <v>26</v>
      </c>
      <c r="F54" t="s">
        <v>27</v>
      </c>
      <c r="G54" t="s">
        <v>28</v>
      </c>
      <c r="H54" t="s">
        <v>29</v>
      </c>
      <c r="I54" t="s">
        <v>30</v>
      </c>
      <c r="J54" t="s">
        <v>31</v>
      </c>
      <c r="K54" t="s">
        <v>32</v>
      </c>
      <c r="L54" t="s">
        <v>33</v>
      </c>
    </row>
    <row r="55" spans="1:12" ht="12.75">
      <c r="A55">
        <v>730</v>
      </c>
      <c r="B55">
        <v>609</v>
      </c>
      <c r="C55">
        <v>414</v>
      </c>
      <c r="D55">
        <v>185</v>
      </c>
      <c r="E55">
        <v>68</v>
      </c>
      <c r="F55">
        <v>0</v>
      </c>
      <c r="G55">
        <v>0</v>
      </c>
      <c r="H55">
        <v>0</v>
      </c>
      <c r="I55">
        <v>38</v>
      </c>
      <c r="J55">
        <v>160</v>
      </c>
      <c r="K55">
        <v>351</v>
      </c>
      <c r="L55">
        <v>623</v>
      </c>
    </row>
    <row r="56" spans="2:9" ht="12.75">
      <c r="B56">
        <v>18</v>
      </c>
      <c r="C56" t="s">
        <v>40</v>
      </c>
      <c r="I56" t="s">
        <v>51</v>
      </c>
    </row>
    <row r="57" spans="2:10" ht="12.75">
      <c r="B57" t="s">
        <v>38</v>
      </c>
      <c r="C57" t="s">
        <v>39</v>
      </c>
      <c r="D57" t="s">
        <v>41</v>
      </c>
      <c r="E57" t="s">
        <v>42</v>
      </c>
      <c r="F57" t="s">
        <v>5</v>
      </c>
      <c r="G57" t="s">
        <v>44</v>
      </c>
      <c r="H57" t="s">
        <v>45</v>
      </c>
      <c r="I57" t="s">
        <v>46</v>
      </c>
      <c r="J57" t="s">
        <v>52</v>
      </c>
    </row>
    <row r="58" spans="1:10" ht="12.75">
      <c r="A58" t="s">
        <v>22</v>
      </c>
      <c r="B58">
        <v>730</v>
      </c>
      <c r="C58">
        <f>B58/31</f>
        <v>23.548387096774192</v>
      </c>
      <c r="D58">
        <f>1.8*C58</f>
        <v>42.387096774193544</v>
      </c>
      <c r="E58" s="2">
        <f>64-D58</f>
        <v>21.612903225806456</v>
      </c>
      <c r="F58">
        <v>2.08</v>
      </c>
      <c r="G58" s="2">
        <f>(70-E58)*300</f>
        <v>14516.129032258063</v>
      </c>
      <c r="H58" s="3">
        <f>0.00001*G58*24*31*$E$11</f>
        <v>122.91749999999996</v>
      </c>
      <c r="I58" s="4">
        <f>1.3*G58/F58*(1/3412)*$C$2*24*31*0.01</f>
        <v>91.00234466588509</v>
      </c>
      <c r="J58" s="3">
        <f>(H58-I58)</f>
        <v>31.91515533411487</v>
      </c>
    </row>
    <row r="59" spans="1:10" ht="12.75">
      <c r="A59" t="s">
        <v>23</v>
      </c>
      <c r="B59">
        <v>609</v>
      </c>
      <c r="C59">
        <f>B59/28</f>
        <v>21.75</v>
      </c>
      <c r="D59">
        <f aca="true" t="shared" si="6" ref="D59:D69">1.8*C59</f>
        <v>39.15</v>
      </c>
      <c r="E59" s="2">
        <f aca="true" t="shared" si="7" ref="E59:E69">64-D59</f>
        <v>24.85</v>
      </c>
      <c r="F59">
        <v>2.12</v>
      </c>
      <c r="G59" s="2">
        <f aca="true" t="shared" si="8" ref="G59:G69">(70-E59)*300</f>
        <v>13545</v>
      </c>
      <c r="H59" s="3">
        <f aca="true" t="shared" si="9" ref="H59:H69">0.00001*G59*24*31*$E$11</f>
        <v>114.69431924999999</v>
      </c>
      <c r="I59" s="4">
        <f>1.2*G59/F59*(1/3412)*$C$2*24*31*0.01</f>
        <v>76.90350593908292</v>
      </c>
      <c r="J59" s="4">
        <f>J58+(H59-I59)</f>
        <v>69.70596864503194</v>
      </c>
    </row>
    <row r="60" spans="1:10" ht="12.75">
      <c r="A60" t="s">
        <v>24</v>
      </c>
      <c r="B60">
        <v>414</v>
      </c>
      <c r="C60">
        <f>B60/31</f>
        <v>13.35483870967742</v>
      </c>
      <c r="D60">
        <f t="shared" si="6"/>
        <v>24.038709677419355</v>
      </c>
      <c r="E60" s="2">
        <f t="shared" si="7"/>
        <v>39.961290322580645</v>
      </c>
      <c r="F60">
        <v>2.7</v>
      </c>
      <c r="G60" s="2">
        <f t="shared" si="8"/>
        <v>9011.612903225807</v>
      </c>
      <c r="H60" s="3">
        <f t="shared" si="9"/>
        <v>76.30718399999999</v>
      </c>
      <c r="I60" s="4">
        <f>1.1*G60/F60*(1/3412)*$C$2*24*31*0.01</f>
        <v>36.825885111371626</v>
      </c>
      <c r="J60" s="4">
        <f aca="true" t="shared" si="10" ref="J60:J69">J59+(H60-I60)</f>
        <v>109.1872675336603</v>
      </c>
    </row>
    <row r="61" spans="1:10" ht="12.75">
      <c r="A61" t="s">
        <v>34</v>
      </c>
      <c r="B61">
        <v>185</v>
      </c>
      <c r="C61">
        <f>B61/30</f>
        <v>6.166666666666667</v>
      </c>
      <c r="D61">
        <f t="shared" si="6"/>
        <v>11.100000000000001</v>
      </c>
      <c r="E61" s="2">
        <f t="shared" si="7"/>
        <v>52.9</v>
      </c>
      <c r="F61">
        <v>3.2</v>
      </c>
      <c r="G61" s="2">
        <f t="shared" si="8"/>
        <v>5130</v>
      </c>
      <c r="H61" s="3">
        <f t="shared" si="9"/>
        <v>43.439044499999994</v>
      </c>
      <c r="I61" s="4">
        <f>1*G61/F61*(1/3412)*$C$2*24*31*0.01</f>
        <v>16.0801143024619</v>
      </c>
      <c r="J61" s="4">
        <f t="shared" si="10"/>
        <v>136.5461977311984</v>
      </c>
    </row>
    <row r="62" spans="1:10" ht="12.75">
      <c r="A62" t="s">
        <v>26</v>
      </c>
      <c r="B62">
        <v>68</v>
      </c>
      <c r="C62">
        <f>B62/31</f>
        <v>2.193548387096774</v>
      </c>
      <c r="D62">
        <f t="shared" si="6"/>
        <v>3.9483870967741934</v>
      </c>
      <c r="E62" s="2">
        <f t="shared" si="7"/>
        <v>60.05161290322581</v>
      </c>
      <c r="F62">
        <v>3.6</v>
      </c>
      <c r="G62" s="2">
        <f t="shared" si="8"/>
        <v>2984.516129032257</v>
      </c>
      <c r="H62" s="3">
        <f t="shared" si="9"/>
        <v>25.27183799999999</v>
      </c>
      <c r="I62" s="4">
        <f>1.3*G62/F62*(1/3412)*$C$2*24*31*0.01</f>
        <v>10.810269636576784</v>
      </c>
      <c r="J62" s="4">
        <f t="shared" si="10"/>
        <v>151.0077660946216</v>
      </c>
    </row>
    <row r="63" spans="1:10" ht="12.75">
      <c r="A63" t="s">
        <v>35</v>
      </c>
      <c r="B63">
        <v>0</v>
      </c>
      <c r="C63">
        <f>B63/31</f>
        <v>0</v>
      </c>
      <c r="D63">
        <f t="shared" si="6"/>
        <v>0</v>
      </c>
      <c r="E63" s="2">
        <v>70</v>
      </c>
      <c r="F63">
        <v>0</v>
      </c>
      <c r="G63" s="2"/>
      <c r="H63" s="3">
        <v>0</v>
      </c>
      <c r="I63" s="4">
        <v>0</v>
      </c>
      <c r="J63" s="4">
        <f t="shared" si="10"/>
        <v>151.0077660946216</v>
      </c>
    </row>
    <row r="64" spans="1:10" ht="12.75">
      <c r="A64" t="s">
        <v>28</v>
      </c>
      <c r="B64">
        <v>0</v>
      </c>
      <c r="C64">
        <f>B64/31</f>
        <v>0</v>
      </c>
      <c r="D64">
        <f t="shared" si="6"/>
        <v>0</v>
      </c>
      <c r="E64" s="2">
        <v>78</v>
      </c>
      <c r="F64">
        <v>0</v>
      </c>
      <c r="G64" s="2"/>
      <c r="H64" s="3">
        <v>0</v>
      </c>
      <c r="I64" s="4">
        <v>0</v>
      </c>
      <c r="J64" s="4">
        <f t="shared" si="10"/>
        <v>151.0077660946216</v>
      </c>
    </row>
    <row r="65" spans="1:10" ht="12.75">
      <c r="A65" t="s">
        <v>29</v>
      </c>
      <c r="B65">
        <v>0</v>
      </c>
      <c r="C65">
        <f>B65/31</f>
        <v>0</v>
      </c>
      <c r="D65">
        <f t="shared" si="6"/>
        <v>0</v>
      </c>
      <c r="E65" s="2">
        <v>70</v>
      </c>
      <c r="F65">
        <v>0</v>
      </c>
      <c r="G65" s="2"/>
      <c r="H65" s="3">
        <v>0</v>
      </c>
      <c r="I65" s="4">
        <v>0</v>
      </c>
      <c r="J65" s="4">
        <f t="shared" si="10"/>
        <v>151.0077660946216</v>
      </c>
    </row>
    <row r="66" spans="1:10" ht="12.75">
      <c r="A66" t="s">
        <v>36</v>
      </c>
      <c r="B66">
        <v>38</v>
      </c>
      <c r="C66">
        <f>B66/30</f>
        <v>1.2666666666666666</v>
      </c>
      <c r="D66">
        <f t="shared" si="6"/>
        <v>2.28</v>
      </c>
      <c r="E66" s="2">
        <f t="shared" si="7"/>
        <v>61.72</v>
      </c>
      <c r="F66">
        <v>3.6</v>
      </c>
      <c r="G66" s="2">
        <f t="shared" si="8"/>
        <v>2484.0000000000005</v>
      </c>
      <c r="H66" s="3">
        <f t="shared" si="9"/>
        <v>21.033642600000004</v>
      </c>
      <c r="I66" s="4">
        <f>1.3*G66/F66*(1/3412)*$C$2*24*31*0.01</f>
        <v>8.997341148886283</v>
      </c>
      <c r="J66" s="4">
        <f t="shared" si="10"/>
        <v>163.04406754573532</v>
      </c>
    </row>
    <row r="67" spans="1:10" ht="12.75">
      <c r="A67" t="s">
        <v>37</v>
      </c>
      <c r="B67">
        <v>160</v>
      </c>
      <c r="C67">
        <f>B67/31</f>
        <v>5.161290322580645</v>
      </c>
      <c r="D67">
        <f t="shared" si="6"/>
        <v>9.290322580645162</v>
      </c>
      <c r="E67" s="2">
        <f t="shared" si="7"/>
        <v>54.70967741935484</v>
      </c>
      <c r="F67">
        <v>3.22</v>
      </c>
      <c r="G67" s="2">
        <f t="shared" si="8"/>
        <v>4587.096774193548</v>
      </c>
      <c r="H67" s="3">
        <f t="shared" si="9"/>
        <v>38.84193</v>
      </c>
      <c r="I67" s="4">
        <f>1.1*G67/F67*(1/3412)*$C$2*24*31*0.01</f>
        <v>15.717970189248028</v>
      </c>
      <c r="J67" s="4">
        <f t="shared" si="10"/>
        <v>186.1680273564873</v>
      </c>
    </row>
    <row r="68" spans="1:10" ht="12.75">
      <c r="A68" t="s">
        <v>32</v>
      </c>
      <c r="B68">
        <v>351</v>
      </c>
      <c r="C68">
        <f>B68/30</f>
        <v>11.7</v>
      </c>
      <c r="D68">
        <f t="shared" si="6"/>
        <v>21.06</v>
      </c>
      <c r="E68" s="2">
        <f t="shared" si="7"/>
        <v>42.94</v>
      </c>
      <c r="F68">
        <v>2.8</v>
      </c>
      <c r="G68" s="2">
        <f t="shared" si="8"/>
        <v>8118.000000000001</v>
      </c>
      <c r="H68" s="3">
        <f t="shared" si="9"/>
        <v>68.7403827</v>
      </c>
      <c r="I68" s="4">
        <f>1.2*G68/F68*(1/3412)*$C$2*24*31*0.01</f>
        <v>34.89747512979401</v>
      </c>
      <c r="J68" s="4">
        <f t="shared" si="10"/>
        <v>220.0109349266933</v>
      </c>
    </row>
    <row r="69" spans="1:10" ht="12.75">
      <c r="A69" t="s">
        <v>33</v>
      </c>
      <c r="B69">
        <v>623</v>
      </c>
      <c r="C69">
        <f>B69/31</f>
        <v>20.096774193548388</v>
      </c>
      <c r="D69">
        <f t="shared" si="6"/>
        <v>36.1741935483871</v>
      </c>
      <c r="E69" s="2">
        <f t="shared" si="7"/>
        <v>27.8258064516129</v>
      </c>
      <c r="F69">
        <v>2.2</v>
      </c>
      <c r="G69" s="2">
        <f t="shared" si="8"/>
        <v>12652.25806451613</v>
      </c>
      <c r="H69" s="3">
        <f t="shared" si="9"/>
        <v>107.134893</v>
      </c>
      <c r="I69" s="4">
        <f>1.3*G69/F69*(1/3412)*$C$2*24*31*0.01</f>
        <v>74.99122668656081</v>
      </c>
      <c r="J69" s="4">
        <f t="shared" si="10"/>
        <v>252.15460124013248</v>
      </c>
    </row>
    <row r="70" spans="2:7" ht="12.75">
      <c r="B70">
        <f>SUM(B58:B69)</f>
        <v>3178</v>
      </c>
      <c r="G70" t="s">
        <v>48</v>
      </c>
    </row>
    <row r="71" ht="12.75">
      <c r="G71" t="s">
        <v>49</v>
      </c>
    </row>
    <row r="72" ht="12.75">
      <c r="A72" t="s">
        <v>43</v>
      </c>
    </row>
    <row r="73" ht="12.75">
      <c r="A73" t="s">
        <v>53</v>
      </c>
    </row>
    <row r="74" ht="12.75">
      <c r="A74" t="s">
        <v>54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brockschmidta</dc:creator>
  <cp:keywords/>
  <dc:description/>
  <cp:lastModifiedBy>brockschmidta</cp:lastModifiedBy>
  <dcterms:created xsi:type="dcterms:W3CDTF">2004-02-15T04:15:25Z</dcterms:created>
  <dcterms:modified xsi:type="dcterms:W3CDTF">2004-03-15T14:24:42Z</dcterms:modified>
  <cp:category/>
  <cp:version/>
  <cp:contentType/>
  <cp:contentStatus/>
</cp:coreProperties>
</file>